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chartsheets/sheet1.xml" ContentType="application/vnd.openxmlformats-officedocument.spreadsheetml.chart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5915"/>
  <workbookPr showInkAnnotation="0" autoCompressPictures="0"/>
  <bookViews>
    <workbookView xWindow="0" yWindow="-460" windowWidth="38400" windowHeight="24000" tabRatio="500"/>
  </bookViews>
  <sheets>
    <sheet name="Sheet1" sheetId="1" r:id="rId1"/>
    <sheet name="Chart1" sheetId="3" r:id="rId2"/>
    <sheet name="Sheet2" sheetId="2" r:id="rId3"/>
  </sheets>
  <calcPr calcId="140000" concurrentCalc="0"/>
  <extLst>
    <ext xmlns:mx="http://schemas.microsoft.com/office/mac/excel/2008/main" uri="{7523E5D3-25F3-A5E0-1632-64F254C22452}">
      <mx:ArchID Flags="2"/>
    </ext>
  </extLst>
</workbook>
</file>

<file path=xl/calcChain.xml><?xml version="1.0" encoding="utf-8"?>
<calcChain xmlns="http://schemas.openxmlformats.org/spreadsheetml/2006/main">
  <c r="D306" i="1" l="1"/>
  <c r="C306" i="1"/>
  <c r="C307" i="1"/>
  <c r="D307" i="1"/>
  <c r="C332" i="1"/>
  <c r="C334" i="1"/>
  <c r="C343" i="1"/>
  <c r="G38" i="1"/>
  <c r="E38" i="1"/>
  <c r="G39" i="1"/>
  <c r="E39" i="1"/>
  <c r="G40" i="1"/>
  <c r="E40" i="1"/>
  <c r="G41" i="1"/>
  <c r="E41" i="1"/>
  <c r="G43" i="1"/>
  <c r="E43" i="1"/>
  <c r="E50" i="1"/>
  <c r="D141" i="1"/>
  <c r="E66" i="1"/>
  <c r="E69" i="1"/>
  <c r="E72" i="1"/>
  <c r="E75" i="1"/>
  <c r="E81" i="1"/>
  <c r="D142" i="1"/>
  <c r="E117" i="1"/>
  <c r="D143" i="1"/>
  <c r="E144" i="1"/>
  <c r="E146" i="1"/>
  <c r="C344" i="1"/>
  <c r="C345" i="1"/>
  <c r="D334" i="1"/>
  <c r="D332" i="1"/>
  <c r="D335" i="1"/>
  <c r="D343" i="1"/>
  <c r="D344" i="1"/>
  <c r="D345" i="1"/>
  <c r="D347" i="1"/>
  <c r="D299" i="1"/>
  <c r="E306" i="1"/>
  <c r="E307" i="1"/>
  <c r="E334" i="1"/>
  <c r="E335" i="1"/>
  <c r="E332" i="1"/>
  <c r="E336" i="1"/>
  <c r="E343" i="1"/>
  <c r="E344" i="1"/>
  <c r="E345" i="1"/>
  <c r="E347" i="1"/>
  <c r="E299" i="1"/>
  <c r="F306" i="1"/>
  <c r="F307" i="1"/>
  <c r="F334" i="1"/>
  <c r="F335" i="1"/>
  <c r="F336" i="1"/>
  <c r="F332" i="1"/>
  <c r="F337" i="1"/>
  <c r="F343" i="1"/>
  <c r="F344" i="1"/>
  <c r="F345" i="1"/>
  <c r="F347" i="1"/>
  <c r="F299" i="1"/>
  <c r="G306" i="1"/>
  <c r="G307" i="1"/>
  <c r="G334" i="1"/>
  <c r="G335" i="1"/>
  <c r="G336" i="1"/>
  <c r="G337" i="1"/>
  <c r="G332" i="1"/>
  <c r="G338" i="1"/>
  <c r="G343" i="1"/>
  <c r="G344" i="1"/>
  <c r="G345" i="1"/>
  <c r="G347" i="1"/>
  <c r="G299" i="1"/>
  <c r="H306" i="1"/>
  <c r="H307" i="1"/>
  <c r="H334" i="1"/>
  <c r="H335" i="1"/>
  <c r="H336" i="1"/>
  <c r="H337" i="1"/>
  <c r="H338" i="1"/>
  <c r="H332" i="1"/>
  <c r="H339" i="1"/>
  <c r="H343" i="1"/>
  <c r="H344" i="1"/>
  <c r="H345" i="1"/>
  <c r="H347" i="1"/>
  <c r="H299" i="1"/>
  <c r="I306" i="1"/>
  <c r="I307" i="1"/>
  <c r="I334" i="1"/>
  <c r="I335" i="1"/>
  <c r="I336" i="1"/>
  <c r="I337" i="1"/>
  <c r="I338" i="1"/>
  <c r="I339" i="1"/>
  <c r="I332" i="1"/>
  <c r="I340" i="1"/>
  <c r="I343" i="1"/>
  <c r="I344" i="1"/>
  <c r="I345" i="1"/>
  <c r="I347" i="1"/>
  <c r="I299" i="1"/>
  <c r="J306" i="1"/>
  <c r="J307" i="1"/>
  <c r="J334" i="1"/>
  <c r="J335" i="1"/>
  <c r="J336" i="1"/>
  <c r="J337" i="1"/>
  <c r="J338" i="1"/>
  <c r="J339" i="1"/>
  <c r="J340" i="1"/>
  <c r="J332" i="1"/>
  <c r="J341" i="1"/>
  <c r="J343" i="1"/>
  <c r="J344" i="1"/>
  <c r="J345" i="1"/>
  <c r="J347" i="1"/>
  <c r="J299" i="1"/>
  <c r="K306" i="1"/>
  <c r="K307" i="1"/>
  <c r="K334" i="1"/>
  <c r="K335" i="1"/>
  <c r="K336" i="1"/>
  <c r="K337" i="1"/>
  <c r="K338" i="1"/>
  <c r="K339" i="1"/>
  <c r="K340" i="1"/>
  <c r="K341" i="1"/>
  <c r="K332" i="1"/>
  <c r="K342" i="1"/>
  <c r="K343" i="1"/>
  <c r="K344" i="1"/>
  <c r="K345" i="1"/>
  <c r="K347" i="1"/>
  <c r="K299" i="1"/>
  <c r="C347" i="1"/>
  <c r="C299" i="1"/>
  <c r="D346" i="1"/>
  <c r="D298" i="1"/>
  <c r="E346" i="1"/>
  <c r="E298" i="1"/>
  <c r="F346" i="1"/>
  <c r="F298" i="1"/>
  <c r="G346" i="1"/>
  <c r="G298" i="1"/>
  <c r="H346" i="1"/>
  <c r="H298" i="1"/>
  <c r="I346" i="1"/>
  <c r="I298" i="1"/>
  <c r="J346" i="1"/>
  <c r="J298" i="1"/>
  <c r="K346" i="1"/>
  <c r="K298" i="1"/>
  <c r="C346" i="1"/>
  <c r="C298" i="1"/>
  <c r="D297" i="1"/>
  <c r="E297" i="1"/>
  <c r="F297" i="1"/>
  <c r="G297" i="1"/>
  <c r="H297" i="1"/>
  <c r="I297" i="1"/>
  <c r="J297" i="1"/>
  <c r="K297" i="1"/>
  <c r="C297" i="1"/>
  <c r="D296" i="1"/>
  <c r="E296" i="1"/>
  <c r="F296" i="1"/>
  <c r="G296" i="1"/>
  <c r="H296" i="1"/>
  <c r="I296" i="1"/>
  <c r="J296" i="1"/>
  <c r="K296" i="1"/>
  <c r="C296" i="1"/>
  <c r="D289" i="1"/>
  <c r="E289" i="1"/>
  <c r="F289" i="1"/>
  <c r="G289" i="1"/>
  <c r="H289" i="1"/>
  <c r="I289" i="1"/>
  <c r="J289" i="1"/>
  <c r="K289" i="1"/>
  <c r="C289" i="1"/>
  <c r="K288" i="1"/>
  <c r="K278" i="1"/>
  <c r="L332" i="1"/>
  <c r="D378" i="1"/>
  <c r="E378" i="1"/>
  <c r="F378" i="1"/>
  <c r="G378" i="1"/>
  <c r="H378" i="1"/>
  <c r="I378" i="1"/>
  <c r="L317" i="1"/>
  <c r="L316" i="1"/>
  <c r="M317" i="1"/>
  <c r="L314" i="1"/>
  <c r="L313" i="1"/>
  <c r="M314" i="1"/>
  <c r="L311" i="1"/>
  <c r="L310" i="1"/>
  <c r="M311" i="1"/>
  <c r="B183" i="1"/>
  <c r="C183" i="1"/>
  <c r="B184" i="1"/>
  <c r="C184" i="1"/>
  <c r="B185" i="1"/>
  <c r="C185" i="1"/>
  <c r="B186" i="1"/>
  <c r="C186" i="1"/>
  <c r="B187" i="1"/>
  <c r="C187" i="1"/>
  <c r="B188" i="1"/>
  <c r="C188" i="1"/>
  <c r="B189" i="1"/>
  <c r="C189" i="1"/>
  <c r="B182" i="1"/>
  <c r="C182" i="1"/>
  <c r="E13" i="1"/>
  <c r="E14" i="1"/>
  <c r="E19" i="1"/>
  <c r="E138" i="1"/>
  <c r="E79" i="1"/>
  <c r="D182" i="1"/>
  <c r="D183" i="1"/>
  <c r="D184" i="1"/>
  <c r="C232" i="1"/>
  <c r="E184" i="1"/>
  <c r="D232" i="1"/>
  <c r="E232" i="1"/>
  <c r="C231" i="1"/>
  <c r="E231" i="1"/>
  <c r="B228" i="1"/>
  <c r="E228" i="1"/>
  <c r="C229" i="1"/>
  <c r="E229" i="1"/>
  <c r="E230" i="1"/>
  <c r="F228" i="1"/>
  <c r="F229" i="1"/>
  <c r="F230" i="1"/>
  <c r="F231" i="1"/>
  <c r="F232" i="1"/>
  <c r="D185" i="1"/>
  <c r="C233" i="1"/>
  <c r="E185" i="1"/>
  <c r="D233" i="1"/>
  <c r="E233" i="1"/>
  <c r="F233" i="1"/>
  <c r="D186" i="1"/>
  <c r="C234" i="1"/>
  <c r="E186" i="1"/>
  <c r="D234" i="1"/>
  <c r="E234" i="1"/>
  <c r="F234" i="1"/>
  <c r="D187" i="1"/>
  <c r="C235" i="1"/>
  <c r="E187" i="1"/>
  <c r="D235" i="1"/>
  <c r="E235" i="1"/>
  <c r="F235" i="1"/>
  <c r="D188" i="1"/>
  <c r="C236" i="1"/>
  <c r="E188" i="1"/>
  <c r="D236" i="1"/>
  <c r="E236" i="1"/>
  <c r="F236" i="1"/>
  <c r="D189" i="1"/>
  <c r="C237" i="1"/>
  <c r="E189" i="1"/>
  <c r="D237" i="1"/>
  <c r="E237" i="1"/>
  <c r="F237" i="1"/>
  <c r="D190" i="1"/>
  <c r="C238" i="1"/>
  <c r="E190" i="1"/>
  <c r="D238" i="1"/>
  <c r="E238" i="1"/>
  <c r="F238" i="1"/>
  <c r="E191" i="1"/>
  <c r="D239" i="1"/>
  <c r="E239" i="1"/>
  <c r="F239" i="1"/>
  <c r="C278" i="1"/>
  <c r="C280" i="1"/>
  <c r="C290" i="1"/>
  <c r="C291" i="1"/>
  <c r="D280" i="1"/>
  <c r="D278" i="1"/>
  <c r="D281" i="1"/>
  <c r="D290" i="1"/>
  <c r="D291" i="1"/>
  <c r="E280" i="1"/>
  <c r="E281" i="1"/>
  <c r="E278" i="1"/>
  <c r="E282" i="1"/>
  <c r="E290" i="1"/>
  <c r="E291" i="1"/>
  <c r="F280" i="1"/>
  <c r="F281" i="1"/>
  <c r="F282" i="1"/>
  <c r="F278" i="1"/>
  <c r="F283" i="1"/>
  <c r="F290" i="1"/>
  <c r="F291" i="1"/>
  <c r="G280" i="1"/>
  <c r="G281" i="1"/>
  <c r="G282" i="1"/>
  <c r="G283" i="1"/>
  <c r="G278" i="1"/>
  <c r="G284" i="1"/>
  <c r="G290" i="1"/>
  <c r="G291" i="1"/>
  <c r="H280" i="1"/>
  <c r="H281" i="1"/>
  <c r="H282" i="1"/>
  <c r="H283" i="1"/>
  <c r="H284" i="1"/>
  <c r="H278" i="1"/>
  <c r="H285" i="1"/>
  <c r="H290" i="1"/>
  <c r="H291" i="1"/>
  <c r="I280" i="1"/>
  <c r="I281" i="1"/>
  <c r="I282" i="1"/>
  <c r="I283" i="1"/>
  <c r="I284" i="1"/>
  <c r="I285" i="1"/>
  <c r="I278" i="1"/>
  <c r="I286" i="1"/>
  <c r="I290" i="1"/>
  <c r="I291" i="1"/>
  <c r="J280" i="1"/>
  <c r="J281" i="1"/>
  <c r="J282" i="1"/>
  <c r="J283" i="1"/>
  <c r="J284" i="1"/>
  <c r="J285" i="1"/>
  <c r="J286" i="1"/>
  <c r="J278" i="1"/>
  <c r="J287" i="1"/>
  <c r="J290" i="1"/>
  <c r="J291" i="1"/>
  <c r="K280" i="1"/>
  <c r="K281" i="1"/>
  <c r="K282" i="1"/>
  <c r="K283" i="1"/>
  <c r="K284" i="1"/>
  <c r="K285" i="1"/>
  <c r="K286" i="1"/>
  <c r="K287" i="1"/>
  <c r="K290" i="1"/>
  <c r="K291" i="1"/>
  <c r="C381" i="1"/>
  <c r="D381" i="1"/>
  <c r="E381" i="1"/>
  <c r="F381" i="1"/>
  <c r="G381" i="1"/>
  <c r="H381" i="1"/>
  <c r="I381" i="1"/>
  <c r="J381" i="1"/>
  <c r="K381" i="1"/>
  <c r="D373" i="1"/>
  <c r="D380" i="1"/>
  <c r="E373" i="1"/>
  <c r="E380" i="1"/>
  <c r="F373" i="1"/>
  <c r="F380" i="1"/>
  <c r="G373" i="1"/>
  <c r="G380" i="1"/>
  <c r="H373" i="1"/>
  <c r="H380" i="1"/>
  <c r="I373" i="1"/>
  <c r="I380" i="1"/>
  <c r="J373" i="1"/>
  <c r="J380" i="1"/>
  <c r="C373" i="1"/>
  <c r="K373" i="1"/>
  <c r="K380" i="1"/>
  <c r="B432" i="1"/>
  <c r="B434" i="1"/>
  <c r="B436" i="1"/>
  <c r="C432" i="1"/>
  <c r="C433" i="1"/>
  <c r="C434" i="1"/>
  <c r="C436" i="1"/>
  <c r="D432" i="1"/>
  <c r="D433" i="1"/>
  <c r="D434" i="1"/>
  <c r="D436" i="1"/>
  <c r="E432" i="1"/>
  <c r="E433" i="1"/>
  <c r="E434" i="1"/>
  <c r="E436" i="1"/>
  <c r="F432" i="1"/>
  <c r="F433" i="1"/>
  <c r="F434" i="1"/>
  <c r="F436" i="1"/>
  <c r="G432" i="1"/>
  <c r="G433" i="1"/>
  <c r="G434" i="1"/>
  <c r="G436" i="1"/>
  <c r="H432" i="1"/>
  <c r="H433" i="1"/>
  <c r="H434" i="1"/>
  <c r="H436" i="1"/>
  <c r="I432" i="1"/>
  <c r="I433" i="1"/>
  <c r="I434" i="1"/>
  <c r="I436" i="1"/>
  <c r="J432" i="1"/>
  <c r="J433" i="1"/>
  <c r="J434" i="1"/>
  <c r="J436" i="1"/>
  <c r="K436" i="1"/>
  <c r="K434" i="1"/>
  <c r="K437" i="1"/>
  <c r="E149" i="1"/>
  <c r="E151" i="1"/>
  <c r="E155" i="1"/>
  <c r="D265" i="1"/>
  <c r="D292" i="1"/>
  <c r="E265" i="1"/>
  <c r="E292" i="1"/>
  <c r="F265" i="1"/>
  <c r="F292" i="1"/>
  <c r="G265" i="1"/>
  <c r="G292" i="1"/>
  <c r="H265" i="1"/>
  <c r="H292" i="1"/>
  <c r="I265" i="1"/>
  <c r="I292" i="1"/>
  <c r="J265" i="1"/>
  <c r="J292" i="1"/>
  <c r="K265" i="1"/>
  <c r="K292" i="1"/>
  <c r="C265" i="1"/>
  <c r="C292" i="1"/>
  <c r="C425" i="1"/>
  <c r="D425" i="1"/>
  <c r="E425" i="1"/>
  <c r="F425" i="1"/>
  <c r="G425" i="1"/>
  <c r="H425" i="1"/>
  <c r="I425" i="1"/>
  <c r="B425" i="1"/>
  <c r="K372" i="1"/>
  <c r="K378" i="1"/>
  <c r="K374" i="1"/>
  <c r="C386" i="1"/>
  <c r="C385" i="1"/>
  <c r="D385" i="1"/>
  <c r="E385" i="1"/>
  <c r="F385" i="1"/>
  <c r="G385" i="1"/>
  <c r="H385" i="1"/>
  <c r="I385" i="1"/>
  <c r="J385" i="1"/>
  <c r="K385" i="1"/>
  <c r="B385" i="1"/>
  <c r="C380" i="1"/>
  <c r="C230" i="1"/>
  <c r="B230" i="1"/>
  <c r="E109" i="1"/>
  <c r="E111" i="1"/>
  <c r="E113" i="1"/>
  <c r="E115" i="1"/>
  <c r="C266" i="1"/>
  <c r="D266" i="1"/>
  <c r="E266" i="1"/>
  <c r="F266" i="1"/>
  <c r="G266" i="1"/>
  <c r="H266" i="1"/>
  <c r="I266" i="1"/>
  <c r="J266" i="1"/>
  <c r="K266" i="1"/>
  <c r="K293" i="1"/>
  <c r="L276" i="1"/>
  <c r="L275" i="1"/>
  <c r="M276" i="1"/>
  <c r="L273" i="1"/>
  <c r="L272" i="1"/>
  <c r="M273" i="1"/>
  <c r="L269" i="1"/>
  <c r="L270" i="1"/>
  <c r="M270" i="1"/>
  <c r="L278" i="1"/>
  <c r="C371" i="1"/>
  <c r="D371" i="1"/>
  <c r="I371" i="1"/>
  <c r="H371" i="1"/>
  <c r="G371" i="1"/>
  <c r="F371" i="1"/>
  <c r="E371" i="1"/>
  <c r="D382" i="1"/>
  <c r="D376" i="1"/>
  <c r="C382" i="1"/>
  <c r="C376" i="1"/>
  <c r="B387" i="1"/>
  <c r="C388" i="1"/>
  <c r="D389" i="1"/>
  <c r="C387" i="1"/>
  <c r="D388" i="1"/>
  <c r="E382" i="1"/>
  <c r="E376" i="1"/>
  <c r="E389" i="1"/>
  <c r="D387" i="1"/>
  <c r="E388" i="1"/>
  <c r="F382" i="1"/>
  <c r="F376" i="1"/>
  <c r="F389" i="1"/>
  <c r="E387" i="1"/>
  <c r="F388" i="1"/>
  <c r="G382" i="1"/>
  <c r="G376" i="1"/>
  <c r="G389" i="1"/>
  <c r="F387" i="1"/>
  <c r="G388" i="1"/>
  <c r="H382" i="1"/>
  <c r="H376" i="1"/>
  <c r="H389" i="1"/>
  <c r="G387" i="1"/>
  <c r="H388" i="1"/>
  <c r="I382" i="1"/>
  <c r="I376" i="1"/>
  <c r="I389" i="1"/>
  <c r="H387" i="1"/>
  <c r="I388" i="1"/>
  <c r="J382" i="1"/>
  <c r="J376" i="1"/>
  <c r="J389" i="1"/>
  <c r="B382" i="1"/>
  <c r="B376" i="1"/>
  <c r="B388" i="1"/>
  <c r="C389" i="1"/>
  <c r="B389" i="1"/>
  <c r="K389" i="1"/>
  <c r="D390" i="1"/>
  <c r="E390" i="1"/>
  <c r="F390" i="1"/>
  <c r="G390" i="1"/>
  <c r="H390" i="1"/>
  <c r="I390" i="1"/>
  <c r="J390" i="1"/>
  <c r="C390" i="1"/>
  <c r="B390" i="1"/>
  <c r="K390" i="1"/>
  <c r="D391" i="1"/>
  <c r="E391" i="1"/>
  <c r="F391" i="1"/>
  <c r="G391" i="1"/>
  <c r="H391" i="1"/>
  <c r="I391" i="1"/>
  <c r="J391" i="1"/>
  <c r="C391" i="1"/>
  <c r="B391" i="1"/>
  <c r="K391" i="1"/>
  <c r="D392" i="1"/>
  <c r="E392" i="1"/>
  <c r="F392" i="1"/>
  <c r="G392" i="1"/>
  <c r="H392" i="1"/>
  <c r="I392" i="1"/>
  <c r="J392" i="1"/>
  <c r="C392" i="1"/>
  <c r="B392" i="1"/>
  <c r="K392" i="1"/>
  <c r="D393" i="1"/>
  <c r="E393" i="1"/>
  <c r="F393" i="1"/>
  <c r="G393" i="1"/>
  <c r="H393" i="1"/>
  <c r="I393" i="1"/>
  <c r="J393" i="1"/>
  <c r="C393" i="1"/>
  <c r="B393" i="1"/>
  <c r="K393" i="1"/>
  <c r="D394" i="1"/>
  <c r="E394" i="1"/>
  <c r="F394" i="1"/>
  <c r="G394" i="1"/>
  <c r="H394" i="1"/>
  <c r="I394" i="1"/>
  <c r="J394" i="1"/>
  <c r="C394" i="1"/>
  <c r="B394" i="1"/>
  <c r="K394" i="1"/>
  <c r="D395" i="1"/>
  <c r="E395" i="1"/>
  <c r="F395" i="1"/>
  <c r="G395" i="1"/>
  <c r="H395" i="1"/>
  <c r="I395" i="1"/>
  <c r="J395" i="1"/>
  <c r="C395" i="1"/>
  <c r="B395" i="1"/>
  <c r="K395" i="1"/>
  <c r="D396" i="1"/>
  <c r="E396" i="1"/>
  <c r="F396" i="1"/>
  <c r="G396" i="1"/>
  <c r="H396" i="1"/>
  <c r="I396" i="1"/>
  <c r="J396" i="1"/>
  <c r="C396" i="1"/>
  <c r="B396" i="1"/>
  <c r="K396" i="1"/>
  <c r="I387" i="1"/>
  <c r="J387" i="1"/>
  <c r="K370" i="1"/>
  <c r="K387" i="1"/>
  <c r="K371" i="1"/>
  <c r="N389" i="1"/>
  <c r="N390" i="1"/>
  <c r="N391" i="1"/>
  <c r="N392" i="1"/>
  <c r="N393" i="1"/>
  <c r="N394" i="1"/>
  <c r="N395" i="1"/>
  <c r="N396" i="1"/>
  <c r="N388" i="1"/>
  <c r="M389" i="1"/>
  <c r="M390" i="1"/>
  <c r="M391" i="1"/>
  <c r="M392" i="1"/>
  <c r="M393" i="1"/>
  <c r="M394" i="1"/>
  <c r="M395" i="1"/>
  <c r="M396" i="1"/>
  <c r="J388" i="1"/>
  <c r="K388" i="1"/>
  <c r="M388" i="1"/>
  <c r="L389" i="1"/>
  <c r="L390" i="1"/>
  <c r="L391" i="1"/>
  <c r="L392" i="1"/>
  <c r="L393" i="1"/>
  <c r="L394" i="1"/>
  <c r="L395" i="1"/>
  <c r="L396" i="1"/>
  <c r="L388" i="1"/>
  <c r="J293" i="1"/>
  <c r="G293" i="1"/>
  <c r="H293" i="1"/>
  <c r="I293" i="1"/>
  <c r="F293" i="1"/>
  <c r="E293" i="1"/>
  <c r="D293" i="1"/>
  <c r="C293" i="1"/>
  <c r="D442" i="1"/>
  <c r="B442" i="1"/>
  <c r="D443" i="1"/>
  <c r="D444" i="1"/>
  <c r="D446" i="1"/>
  <c r="E442" i="1"/>
  <c r="C442" i="1"/>
  <c r="E443" i="1"/>
  <c r="E444" i="1"/>
  <c r="E445" i="1"/>
  <c r="E446" i="1"/>
  <c r="F442" i="1"/>
  <c r="F443" i="1"/>
  <c r="F444" i="1"/>
  <c r="F445" i="1"/>
  <c r="F446" i="1"/>
  <c r="G442" i="1"/>
  <c r="G443" i="1"/>
  <c r="G444" i="1"/>
  <c r="G445" i="1"/>
  <c r="G446" i="1"/>
  <c r="H442" i="1"/>
  <c r="H443" i="1"/>
  <c r="H444" i="1"/>
  <c r="H445" i="1"/>
  <c r="H446" i="1"/>
  <c r="I442" i="1"/>
  <c r="I443" i="1"/>
  <c r="I444" i="1"/>
  <c r="I445" i="1"/>
  <c r="I446" i="1"/>
  <c r="J445" i="1"/>
  <c r="J446" i="1"/>
  <c r="K446" i="1"/>
  <c r="D448" i="1"/>
  <c r="E448" i="1"/>
  <c r="F448" i="1"/>
  <c r="G448" i="1"/>
  <c r="H448" i="1"/>
  <c r="I448" i="1"/>
  <c r="J448" i="1"/>
  <c r="K448" i="1"/>
  <c r="K449" i="1"/>
  <c r="C441" i="1"/>
  <c r="D441" i="1"/>
  <c r="E441" i="1"/>
  <c r="F441" i="1"/>
  <c r="G441" i="1"/>
  <c r="H441" i="1"/>
  <c r="I441" i="1"/>
  <c r="J441" i="1"/>
  <c r="B441" i="1"/>
  <c r="J442" i="1"/>
  <c r="K425" i="1"/>
  <c r="K442" i="1"/>
  <c r="B446" i="1"/>
  <c r="C446" i="1"/>
  <c r="F372" i="1"/>
  <c r="D372" i="1"/>
  <c r="E372" i="1"/>
  <c r="G372" i="1"/>
  <c r="H372" i="1"/>
  <c r="I372" i="1"/>
  <c r="J372" i="1"/>
  <c r="C372" i="1"/>
  <c r="G42" i="1"/>
  <c r="D383" i="1"/>
  <c r="E383" i="1"/>
  <c r="F383" i="1"/>
  <c r="G383" i="1"/>
  <c r="H383" i="1"/>
  <c r="I383" i="1"/>
  <c r="J383" i="1"/>
  <c r="B383" i="1"/>
  <c r="F182" i="1"/>
  <c r="G182" i="1"/>
  <c r="F183" i="1"/>
  <c r="G183" i="1"/>
  <c r="F184" i="1"/>
  <c r="G184" i="1"/>
  <c r="F185" i="1"/>
  <c r="G185" i="1"/>
  <c r="F186" i="1"/>
  <c r="G186" i="1"/>
  <c r="F187" i="1"/>
  <c r="G187" i="1"/>
  <c r="F188" i="1"/>
  <c r="G188" i="1"/>
  <c r="F189" i="1"/>
  <c r="G189" i="1"/>
  <c r="F190" i="1"/>
  <c r="G190" i="1"/>
  <c r="F191" i="1"/>
  <c r="G191" i="1"/>
  <c r="B427" i="1"/>
  <c r="B429" i="1"/>
  <c r="C426" i="1"/>
  <c r="C427" i="1"/>
  <c r="C429" i="1"/>
  <c r="D426" i="1"/>
  <c r="D427" i="1"/>
  <c r="D429" i="1"/>
  <c r="E426" i="1"/>
  <c r="E427" i="1"/>
  <c r="E429" i="1"/>
  <c r="F426" i="1"/>
  <c r="F427" i="1"/>
  <c r="F429" i="1"/>
  <c r="G426" i="1"/>
  <c r="G427" i="1"/>
  <c r="G429" i="1"/>
  <c r="H426" i="1"/>
  <c r="H427" i="1"/>
  <c r="H429" i="1"/>
  <c r="I426" i="1"/>
  <c r="I427" i="1"/>
  <c r="I429" i="1"/>
  <c r="J426" i="1"/>
  <c r="J427" i="1"/>
  <c r="J429" i="1"/>
  <c r="K429" i="1"/>
  <c r="K427" i="1"/>
  <c r="K430" i="1"/>
  <c r="D18" i="2"/>
  <c r="E18" i="2"/>
  <c r="F18" i="2"/>
  <c r="G18" i="2"/>
  <c r="H18" i="2"/>
  <c r="I18" i="2"/>
  <c r="J18" i="2"/>
  <c r="K18" i="2"/>
  <c r="D19" i="2"/>
  <c r="E19" i="2"/>
  <c r="F19" i="2"/>
  <c r="G19" i="2"/>
  <c r="H19" i="2"/>
  <c r="I19" i="2"/>
  <c r="J19" i="2"/>
  <c r="K19" i="2"/>
  <c r="D20" i="2"/>
  <c r="E20" i="2"/>
  <c r="F20" i="2"/>
  <c r="G20" i="2"/>
  <c r="H20" i="2"/>
  <c r="I20" i="2"/>
  <c r="J20" i="2"/>
  <c r="K20" i="2"/>
  <c r="D21" i="2"/>
  <c r="E21" i="2"/>
  <c r="F21" i="2"/>
  <c r="G21" i="2"/>
  <c r="H21" i="2"/>
  <c r="I21" i="2"/>
  <c r="J21" i="2"/>
  <c r="K21" i="2"/>
  <c r="D22" i="2"/>
  <c r="E22" i="2"/>
  <c r="F22" i="2"/>
  <c r="G22" i="2"/>
  <c r="H22" i="2"/>
  <c r="I22" i="2"/>
  <c r="J22" i="2"/>
  <c r="K22" i="2"/>
  <c r="L17" i="2"/>
  <c r="L18" i="2"/>
  <c r="L19" i="2"/>
  <c r="L20" i="2"/>
  <c r="L21" i="2"/>
  <c r="L22" i="2"/>
  <c r="L23" i="2"/>
  <c r="E17" i="2"/>
  <c r="F17" i="2"/>
  <c r="G17" i="2"/>
  <c r="H17" i="2"/>
  <c r="I17" i="2"/>
  <c r="J17" i="2"/>
  <c r="K17" i="2"/>
  <c r="D17" i="2"/>
  <c r="E16" i="2"/>
  <c r="F16" i="2"/>
  <c r="G16" i="2"/>
  <c r="H16" i="2"/>
  <c r="I16" i="2"/>
  <c r="J16" i="2"/>
  <c r="K16" i="2"/>
  <c r="D16" i="2"/>
  <c r="C17" i="2"/>
  <c r="C18" i="2"/>
  <c r="C19" i="2"/>
  <c r="C20" i="2"/>
  <c r="C21" i="2"/>
  <c r="C22" i="2"/>
  <c r="C16" i="2"/>
  <c r="L12" i="2"/>
  <c r="D12" i="2"/>
  <c r="E12" i="2"/>
  <c r="F12" i="2"/>
  <c r="G12" i="2"/>
  <c r="H12" i="2"/>
  <c r="I12" i="2"/>
  <c r="J12" i="2"/>
  <c r="K12" i="2"/>
  <c r="C12" i="2"/>
  <c r="L16" i="2"/>
  <c r="E8" i="2"/>
  <c r="E15" i="2"/>
  <c r="F8" i="2"/>
  <c r="F15" i="2"/>
  <c r="G8" i="2"/>
  <c r="G15" i="2"/>
  <c r="H8" i="2"/>
  <c r="H15" i="2"/>
  <c r="I8" i="2"/>
  <c r="I15" i="2"/>
  <c r="J8" i="2"/>
  <c r="J15" i="2"/>
  <c r="K8" i="2"/>
  <c r="K15" i="2"/>
  <c r="D8" i="2"/>
  <c r="D15" i="2"/>
  <c r="N9" i="2"/>
  <c r="M7" i="2"/>
  <c r="N8" i="2"/>
  <c r="F11" i="2"/>
  <c r="G11" i="2"/>
  <c r="H11" i="2"/>
  <c r="D11" i="2"/>
  <c r="E11" i="2"/>
  <c r="C11" i="2"/>
  <c r="I11" i="2"/>
  <c r="J11" i="2"/>
  <c r="K11" i="2"/>
  <c r="L11" i="2"/>
  <c r="L7" i="2"/>
  <c r="E156" i="1"/>
  <c r="K382" i="1"/>
  <c r="K376" i="1"/>
  <c r="E148" i="1"/>
  <c r="K432" i="1"/>
  <c r="C383" i="1"/>
  <c r="K383" i="1"/>
</calcChain>
</file>

<file path=xl/sharedStrings.xml><?xml version="1.0" encoding="utf-8"?>
<sst xmlns="http://schemas.openxmlformats.org/spreadsheetml/2006/main" count="361" uniqueCount="271">
  <si>
    <t xml:space="preserve">   Food</t>
  </si>
  <si>
    <t xml:space="preserve">   Other</t>
  </si>
  <si>
    <t>Total</t>
  </si>
  <si>
    <t>Average Retention Rate</t>
  </si>
  <si>
    <t>Referrals Per Camper</t>
  </si>
  <si>
    <t>Net Income</t>
  </si>
  <si>
    <t>Cumulative</t>
  </si>
  <si>
    <t>Year 1</t>
  </si>
  <si>
    <t>Year 2</t>
  </si>
  <si>
    <t>Year 3</t>
  </si>
  <si>
    <t>Year 4</t>
  </si>
  <si>
    <t>Year 5</t>
  </si>
  <si>
    <t>Year 6</t>
  </si>
  <si>
    <t>Year 7</t>
  </si>
  <si>
    <t>Year 8</t>
  </si>
  <si>
    <t xml:space="preserve">Direct </t>
  </si>
  <si>
    <t>Income</t>
  </si>
  <si>
    <t>Referral</t>
  </si>
  <si>
    <t xml:space="preserve">Total </t>
  </si>
  <si>
    <t>`</t>
  </si>
  <si>
    <t>Mortgage rate</t>
  </si>
  <si>
    <t>Annual mortgage</t>
  </si>
  <si>
    <t xml:space="preserve">Eligible </t>
  </si>
  <si>
    <t>for retention</t>
  </si>
  <si>
    <t>Do it over several years</t>
  </si>
  <si>
    <t>Retention Rate</t>
  </si>
  <si>
    <t>Retained</t>
  </si>
  <si>
    <t>%</t>
  </si>
  <si>
    <t>New  Campers</t>
  </si>
  <si>
    <t>Retention</t>
  </si>
  <si>
    <t xml:space="preserve">Increase by </t>
  </si>
  <si>
    <t>Total Year 2</t>
  </si>
  <si>
    <t>Camp tuition</t>
  </si>
  <si>
    <t>Include cabin costs - YES or NO</t>
  </si>
  <si>
    <t>Year 1 - Total Campers</t>
  </si>
  <si>
    <t>Year 2 - Total Campers</t>
  </si>
  <si>
    <t>Year 3 - Total Campers</t>
  </si>
  <si>
    <t>Year 4 - Total Campers</t>
  </si>
  <si>
    <t>Year 5 - Total Campers</t>
  </si>
  <si>
    <t>Year 6 - Total Campers</t>
  </si>
  <si>
    <t>Year 7 - Total Campers</t>
  </si>
  <si>
    <t>Year 8 - Total Campers</t>
  </si>
  <si>
    <t>Campers - Base Year</t>
  </si>
  <si>
    <t>Eligible for retention</t>
  </si>
  <si>
    <t xml:space="preserve">Retention rate by cohort </t>
  </si>
  <si>
    <t>New Campers - Year 1 - 8</t>
  </si>
  <si>
    <t>Year 9 - Total Campers</t>
  </si>
  <si>
    <t>Age</t>
  </si>
  <si>
    <t>YOUR CAMP</t>
  </si>
  <si>
    <t>% discounted due to financial aid</t>
  </si>
  <si>
    <t>% total discounted</t>
  </si>
  <si>
    <t>Retention Factor</t>
  </si>
  <si>
    <t>Number of years attended camp</t>
  </si>
  <si>
    <t>Number of campers</t>
  </si>
  <si>
    <t>Base</t>
  </si>
  <si>
    <t>Impact of Increasing New Campers each year by</t>
  </si>
  <si>
    <t>New Campers per Year</t>
  </si>
  <si>
    <t>Adjusted retention rate</t>
  </si>
  <si>
    <t>Total Years</t>
  </si>
  <si>
    <t>Weighted Factor</t>
  </si>
  <si>
    <t># of Campers exited after end of year</t>
  </si>
  <si>
    <t xml:space="preserve">Impact of Increase in Retention overall by </t>
  </si>
  <si>
    <t>Number of campers at beginning of year</t>
  </si>
  <si>
    <t>Cost to build a cabin</t>
  </si>
  <si>
    <t># of Campers exited/don't return</t>
  </si>
  <si>
    <t>NET INCOME</t>
  </si>
  <si>
    <t>Additional campers retained - Year 1</t>
  </si>
  <si>
    <t>Total Retained - Year 1</t>
  </si>
  <si>
    <t>Increase retention by</t>
  </si>
  <si>
    <t xml:space="preserve">   Arts and crafts supplies</t>
  </si>
  <si>
    <t xml:space="preserve">   Transportation to/from camp</t>
  </si>
  <si>
    <t>Full summer/2</t>
  </si>
  <si>
    <t>Investment</t>
  </si>
  <si>
    <t>Year 9</t>
  </si>
  <si>
    <t>Personnel</t>
  </si>
  <si>
    <t>Marketing</t>
  </si>
  <si>
    <t>Other</t>
  </si>
  <si>
    <t>Year 1 Investment - Direct</t>
  </si>
  <si>
    <t>Year 1 Investment - Referral</t>
  </si>
  <si>
    <t>Year 2 Investment - Direct</t>
  </si>
  <si>
    <t>Year 2 Investment - Referral</t>
  </si>
  <si>
    <t>Year 3 Investment - Direct</t>
  </si>
  <si>
    <t>Year 3 Investment - Referral</t>
  </si>
  <si>
    <t>Cumulative Investment</t>
  </si>
  <si>
    <t xml:space="preserve">AVERAGE NUMBER OF CAMPER YEARS for CAMPERS WHO START IN YEAR 3 ASSUMING RETENTION RATE IS A 50% MIX OF NUMBER OF </t>
  </si>
  <si>
    <t>YEARS AT CAMP AND AGE</t>
  </si>
  <si>
    <t>Retention Factor - By Age</t>
  </si>
  <si>
    <t>Retention Factor - By Year Started</t>
  </si>
  <si>
    <t>Retention Factor - 50% mix of above</t>
  </si>
  <si>
    <t>From Year 1</t>
  </si>
  <si>
    <t>From Year 2</t>
  </si>
  <si>
    <t>From Year 3</t>
  </si>
  <si>
    <t>From Year 4</t>
  </si>
  <si>
    <t>From Year 5</t>
  </si>
  <si>
    <t>From Year 6</t>
  </si>
  <si>
    <t>From Year 7</t>
  </si>
  <si>
    <t>From Year 8</t>
  </si>
  <si>
    <t>Net Cumulative Income</t>
  </si>
  <si>
    <t>Campers</t>
  </si>
  <si>
    <t>#s</t>
  </si>
  <si>
    <t>Investment in Year 1</t>
  </si>
  <si>
    <t>Net Increase in (Youngest) Campers</t>
  </si>
  <si>
    <r>
      <t>Yr 1-</t>
    </r>
    <r>
      <rPr>
        <sz val="10"/>
        <color theme="1"/>
        <rFont val="Calibri"/>
        <scheme val="minor"/>
      </rPr>
      <t>Invest</t>
    </r>
  </si>
  <si>
    <t xml:space="preserve"> 1 Counsellor salary/ session</t>
  </si>
  <si>
    <t xml:space="preserve"> # of Campers per cabin</t>
  </si>
  <si>
    <t xml:space="preserve"> # of Counsellors per cabin</t>
  </si>
  <si>
    <t xml:space="preserve"> Cost/counsellor/camper</t>
  </si>
  <si>
    <t>(Assume Youngest Campers)</t>
  </si>
  <si>
    <t>Cumulative Net Income</t>
  </si>
  <si>
    <t>Ratio</t>
  </si>
  <si>
    <t xml:space="preserve">   Increase in Campers</t>
  </si>
  <si>
    <t>Net Revenues</t>
  </si>
  <si>
    <r>
      <t xml:space="preserve">% other discounts </t>
    </r>
    <r>
      <rPr>
        <sz val="11"/>
        <rFont val="Calibri"/>
        <scheme val="minor"/>
      </rPr>
      <t>(e.g., siblings, early bird)</t>
    </r>
  </si>
  <si>
    <r>
      <t>Other camper based revenue</t>
    </r>
    <r>
      <rPr>
        <sz val="11"/>
        <color theme="1"/>
        <rFont val="Calibri"/>
        <scheme val="minor"/>
      </rPr>
      <t xml:space="preserve"> (e.g travel, canteen, program fees)</t>
    </r>
  </si>
  <si>
    <r>
      <t xml:space="preserve">A. DETERMINE REVENUES </t>
    </r>
    <r>
      <rPr>
        <b/>
        <sz val="12"/>
        <color rgb="FF0000FF"/>
        <rFont val="Calibri"/>
        <scheme val="minor"/>
      </rPr>
      <t xml:space="preserve">(Per Camper/Session) </t>
    </r>
  </si>
  <si>
    <t xml:space="preserve">   Other per diem </t>
  </si>
  <si>
    <t xml:space="preserve"> 1 Counsellor expenses </t>
  </si>
  <si>
    <t xml:space="preserve"> 1 Programming Specialist salary/session</t>
  </si>
  <si>
    <t xml:space="preserve"> 1 Programming Specialist expenses per session</t>
  </si>
  <si>
    <t xml:space="preserve"> # of campers per new Programming Specialist </t>
  </si>
  <si>
    <t xml:space="preserve"> Average Programming Specialist cost/camper</t>
  </si>
  <si>
    <t xml:space="preserve">   Allowance for wear and tear maintenance</t>
  </si>
  <si>
    <t>Total Expenses</t>
  </si>
  <si>
    <t>Total Staff</t>
  </si>
  <si>
    <t>Assumed to be same as Counsellor, but formula can be overridden.</t>
  </si>
  <si>
    <t>Full summer/2. If the Camp adds a limited number of campers, it is unlikely to require additional specialists. In such a case, set salary at $0.</t>
  </si>
  <si>
    <t>If an additional Specialist is required, indicate the number of new campers that would trigger this.</t>
  </si>
  <si>
    <t>Identify net revenues</t>
  </si>
  <si>
    <t>Identify costs</t>
  </si>
  <si>
    <t xml:space="preserve">   Out of pocket expenses</t>
  </si>
  <si>
    <t xml:space="preserve">   Staff</t>
  </si>
  <si>
    <t xml:space="preserve">   Allocated cabin costs</t>
  </si>
  <si>
    <t xml:space="preserve">  Total Costs</t>
  </si>
  <si>
    <t>Number of campers per cabin</t>
  </si>
  <si>
    <t>Number of sessions</t>
  </si>
  <si>
    <t>Cost per camper</t>
  </si>
  <si>
    <t>Cost per session</t>
  </si>
  <si>
    <t>Number of years for mortgage term</t>
  </si>
  <si>
    <t>Maintenance and repair/year</t>
  </si>
  <si>
    <t>Total costs/year</t>
  </si>
  <si>
    <t>Equivalent number of Average Camper years</t>
  </si>
  <si>
    <t>Direct Life Cyle Net income</t>
  </si>
  <si>
    <t>Total Life Cycle Direct and Referral Income/Camper</t>
  </si>
  <si>
    <t xml:space="preserve">    </t>
  </si>
  <si>
    <t>marketing, facility enhancements, improved customer service etc.</t>
  </si>
  <si>
    <t>Yr 2-Income</t>
  </si>
  <si>
    <t>Yr 3-Income</t>
  </si>
  <si>
    <t>Yr 4-Income</t>
  </si>
  <si>
    <t>Yr 5-Income</t>
  </si>
  <si>
    <t>Yr 6-Income</t>
  </si>
  <si>
    <t>Yr 7-Income</t>
  </si>
  <si>
    <t>Yr 8-Income</t>
  </si>
  <si>
    <t>Yr 9-Income</t>
  </si>
  <si>
    <t>Yr 10-Income</t>
  </si>
  <si>
    <t>Yr 1-Income</t>
  </si>
  <si>
    <t>Yr 1 - Net</t>
  </si>
  <si>
    <t>Total Revenues</t>
  </si>
  <si>
    <t>Cumulative Revenues</t>
  </si>
  <si>
    <t xml:space="preserve">You can input into any fields in </t>
  </si>
  <si>
    <t>yellow</t>
  </si>
  <si>
    <t xml:space="preserve"> Other fields are automatically calculated</t>
  </si>
  <si>
    <t>NO</t>
  </si>
  <si>
    <t xml:space="preserve">Cumulative Campers after accounting for attrition/retention - Assume all start as youngest campers </t>
  </si>
  <si>
    <t xml:space="preserve">   Most revenue numbers can be derived from the camp budget</t>
  </si>
  <si>
    <t xml:space="preserve">   divided by the number of campers.  Make adjustments if </t>
  </si>
  <si>
    <t xml:space="preserve">   target group is expected to be different than the current camper mix.</t>
  </si>
  <si>
    <t>Average tuition</t>
  </si>
  <si>
    <t>Days /Session</t>
  </si>
  <si>
    <t>Based on camper expenses in Section B. Formula is 120% food + 110%  laundry, + 33% (arts supplies+sports supplies + travel) + 100% (other per diem+bank+other). Formula can be manually overridden.</t>
  </si>
  <si>
    <t>If no additional staff are required, set salary at zero.</t>
  </si>
  <si>
    <r>
      <t xml:space="preserve">Other staff salary/session </t>
    </r>
    <r>
      <rPr>
        <sz val="11"/>
        <color theme="1"/>
        <rFont val="Calibri"/>
        <scheme val="minor"/>
      </rPr>
      <t>(e.g.,kitchen,maintenance, security, admin)</t>
    </r>
  </si>
  <si>
    <t xml:space="preserve">   Usually, camps can  accommodate limited enrollment growth</t>
  </si>
  <si>
    <t xml:space="preserve">   within existing cabins. However, new cabins sometimes are</t>
  </si>
  <si>
    <t xml:space="preserve">   required to accommodate growth. Usually, cabins are financed</t>
  </si>
  <si>
    <t xml:space="preserve">   from a capital campaign. However, this model indicates how a </t>
  </si>
  <si>
    <t xml:space="preserve">   cabin can be financed from enrollment growth.</t>
  </si>
  <si>
    <t xml:space="preserve">   Indicate "No" or "Yes"to include cabin costs in model.</t>
  </si>
  <si>
    <t xml:space="preserve">  Filled in via retention worksheet</t>
  </si>
  <si>
    <t xml:space="preserve">Based on your projected one-time investment in enrolment boosting activities and the anticipated increase </t>
  </si>
  <si>
    <t>in the number of campers, this tool projects the direct and referral revenues and net income after</t>
  </si>
  <si>
    <t>Revenues are calculated by multiplying the number of campers by the projected net income for each year</t>
  </si>
  <si>
    <t>taking into account retention/attrition.</t>
  </si>
  <si>
    <t>Note: The investment could be anything that strengthens retention or recruitment  - e.g., programs, recruitment staff,</t>
  </si>
  <si>
    <t>Total Annual Investment in Enrollment Growth</t>
  </si>
  <si>
    <t>Net Annual Income</t>
  </si>
  <si>
    <r>
      <t>B. DETERMINE OUT OF POCKET INCREMENTAL EXPENSES</t>
    </r>
    <r>
      <rPr>
        <b/>
        <sz val="12"/>
        <color rgb="FF0000FF"/>
        <rFont val="Calibri"/>
        <scheme val="minor"/>
      </rPr>
      <t xml:space="preserve"> (Per      Camper/ Session)</t>
    </r>
  </si>
  <si>
    <t xml:space="preserve"> Adjustment for moving to 2nd session</t>
  </si>
  <si>
    <t>Adjustment for moving to 2nd session</t>
  </si>
  <si>
    <t>Life cycle Income from Referrals</t>
  </si>
  <si>
    <t>Indicate incremental expenses that arises from having extra campers.  Do not use average - focus just on the extra costs.</t>
  </si>
  <si>
    <t>A limited number of additional campers usually can be accomodated in cabins (with vacancies) without any increase in staff. However, in some circumstances, only a few more campers require additional staff/new cabin. This approach provides an average cost that probably overestimates in most cases.</t>
  </si>
  <si>
    <t xml:space="preserve">  Note: This module can be used for any infrastructure </t>
  </si>
  <si>
    <t>Costs to Amortize a Cabin/Infrastructure</t>
  </si>
  <si>
    <r>
      <t xml:space="preserve">D. DETERMINE IF NEW CABIN/INFRASTRUCTURE COSTS WILL BE INCLUDED  </t>
    </r>
    <r>
      <rPr>
        <b/>
        <sz val="11"/>
        <color rgb="FF0000FF"/>
        <rFont val="Calibri"/>
        <scheme val="minor"/>
      </rPr>
      <t>(Per Camper/Session)</t>
    </r>
  </si>
  <si>
    <t xml:space="preserve">                                           Net Life Cycle Income/Camper</t>
  </si>
  <si>
    <t>Anticipated fundraising per average camper</t>
  </si>
  <si>
    <t xml:space="preserve">   Sports, medical and other supplies</t>
  </si>
  <si>
    <t>Per Camper/Day</t>
  </si>
  <si>
    <t xml:space="preserve">   Utility, energy, water</t>
  </si>
  <si>
    <t xml:space="preserve">  Numbers shown here are illustrative. Can be customized to your </t>
  </si>
  <si>
    <t xml:space="preserve">   camp within minutes.</t>
  </si>
  <si>
    <t xml:space="preserve">   Laundry</t>
  </si>
  <si>
    <t>RETURN ON INVESTMENT ANALYSIS (ROI) for ENROLLMENT:</t>
  </si>
  <si>
    <t>Total New Campers Started that Year</t>
  </si>
  <si>
    <t xml:space="preserve">Total All New Campers Enrolled </t>
  </si>
  <si>
    <t>New  Camp-ers</t>
  </si>
  <si>
    <t>Direct</t>
  </si>
  <si>
    <t xml:space="preserve">Illustrative - more work needed to </t>
  </si>
  <si>
    <t xml:space="preserve"> refine method of estimation</t>
  </si>
  <si>
    <t>C. DETERMINE INCREMENTAL STAFF COSTS (Per Camper/Session)</t>
  </si>
  <si>
    <t>E. Determine Life Cycle Net Costs Per Camper/Session</t>
  </si>
  <si>
    <t>G. Determine ROI over Time for a One Year Enrollment Investment - An Illustrative Scenario</t>
  </si>
  <si>
    <t>H. DETERMINE RETURN ON INVESTMENT ANALYSIS OVER TIME - AN ILLUSTRATIVE SCENARIO</t>
  </si>
  <si>
    <t>I. THINKING ABOUT RETENTION</t>
  </si>
  <si>
    <t>J. AVERAGE NUMBER OF CAMPER YEARS for CAMPERS WHO START IN YEAR 1</t>
  </si>
  <si>
    <t xml:space="preserve">   Model can be run for 1 session of any length or whole summer</t>
  </si>
  <si>
    <t xml:space="preserve">   Bank, office, administrative, insurance</t>
  </si>
  <si>
    <t># of Campers</t>
  </si>
  <si>
    <t>Average cost/camper</t>
  </si>
  <si>
    <t xml:space="preserve">   </t>
  </si>
  <si>
    <t xml:space="preserve">  This is automatically calculated based on retention data</t>
  </si>
  <si>
    <t xml:space="preserve">  Includes siblings, relatives, friends plus additional persons they directly refer.</t>
  </si>
  <si>
    <t xml:space="preserve">  Same approach as above for direct campers</t>
  </si>
  <si>
    <t>Rate</t>
  </si>
  <si>
    <t>Attrition</t>
  </si>
  <si>
    <t>na</t>
  </si>
  <si>
    <t>Age 8- Yr 1</t>
  </si>
  <si>
    <t>Age 9- Yr 2</t>
  </si>
  <si>
    <t>Age 10- Yr 3</t>
  </si>
  <si>
    <t>Age 11- Yr 4</t>
  </si>
  <si>
    <t>Age 12- Yr 5</t>
  </si>
  <si>
    <t>Age 13- Yr 6</t>
  </si>
  <si>
    <t>Age 14- Yr 7</t>
  </si>
  <si>
    <t>Age 15- Yr 8</t>
  </si>
  <si>
    <t>Age 16- Yr 9</t>
  </si>
  <si>
    <t>Age 17- Yr 10</t>
  </si>
  <si>
    <t xml:space="preserve">    at camp.</t>
  </si>
  <si>
    <t xml:space="preserve">   Referrals and related income are assumed to start</t>
  </si>
  <si>
    <t xml:space="preserve">   in Year 3.</t>
  </si>
  <si>
    <t xml:space="preserve">   Declining direct and referral income over time reflects </t>
  </si>
  <si>
    <t xml:space="preserve">   there is a reduced likelihood of the camper staying at </t>
  </si>
  <si>
    <t xml:space="preserve">   the retention/attrition rate, i.e.,with each passing year, </t>
  </si>
  <si>
    <t xml:space="preserve">  Cumulative Net income aggregates total income </t>
  </si>
  <si>
    <t xml:space="preserve">  over time.</t>
  </si>
  <si>
    <t xml:space="preserve">  Total income sums direct income for 1 camper and </t>
  </si>
  <si>
    <t xml:space="preserve">  related referral income for that camper. </t>
  </si>
  <si>
    <t>F.  Determine Life Cycle Net Income Over Time for 1 Additional Recruited or Retained Camper</t>
  </si>
  <si>
    <t>The result is positive cash flow very early on,</t>
  </si>
  <si>
    <t>followed by positive cumulative net income shortly</t>
  </si>
  <si>
    <t>after.</t>
  </si>
  <si>
    <t>Investment Costs to Grow Enrollment</t>
  </si>
  <si>
    <t>If this investment and return occurred every year, the results would be significantly more as shown below in Section H.</t>
  </si>
  <si>
    <t>Impact on Numbers of campers arising from…</t>
  </si>
  <si>
    <t>Year 4 Investment - Direct</t>
  </si>
  <si>
    <t>Year 4 Investment - Referral</t>
  </si>
  <si>
    <t>Year 5 Investment - Direct</t>
  </si>
  <si>
    <t>Year 5 Investment - Referral</t>
  </si>
  <si>
    <t>Year 6 Investment - Direct</t>
  </si>
  <si>
    <t>Year 6 Investment - Referral</t>
  </si>
  <si>
    <t>Year 7 Investment - Direct</t>
  </si>
  <si>
    <t>Year 7 Investment - Referral</t>
  </si>
  <si>
    <t>Year 8 Investment - Direct</t>
  </si>
  <si>
    <t>Year 8 Investment - Referral</t>
  </si>
  <si>
    <t>Year 9 Investment - Direct</t>
  </si>
  <si>
    <t>Year 9 Investment - Referral</t>
  </si>
  <si>
    <t>From Year 9</t>
  </si>
  <si>
    <t>Continuous Investment Scenario</t>
  </si>
  <si>
    <t>Total All New Campers Enrolled</t>
  </si>
  <si>
    <t>H2. DETERMINE RETURN ON INVESTMENT ANALYSIS OVER TIME - AN ILLUSTRATIVE SCENARIO</t>
  </si>
  <si>
    <t>If new campers were all conservatively assumed to stay for one session for their entire time at camp, set  field at 0% as there is no adjustment. On the other extreme, if all new campers were assumed to move to 2nd session for all their time at the camp after Year 1, and 2nd session incremental prices/costs were the same as first session, the factor would be 75% based on 100% session 1 * 75% ( a general estimate of the Number of Equivalent Number of Camper Years minus the first year(4.4-1)/3.4)). If for example, incremental prices for the 2nd session were 75% of one session and campers spent (only) half all their camp  years in 2nd session,         the factor would be 75% x 50% or 37.5%. A more finetuned analysis can be achieved by using the revenue and cost modules to assess the full session. This element can be further refined in future models.</t>
  </si>
  <si>
    <t>considering the investment costs.</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</si>
</sst>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5" formatCode="&quot;$&quot;#,##0;\-&quot;$&quot;#,##0"/>
    <numFmt numFmtId="43" formatCode="_-* #,##0.00_-;\-* #,##0.00_-;_-* &quot;-&quot;??_-;_-@_-"/>
    <numFmt numFmtId="164" formatCode="[$$-1009]#,##0;\-[$$-1009]#,##0"/>
    <numFmt numFmtId="165" formatCode="_-* #,##0_-;\-* #,##0_-;_-* &quot;-&quot;??_-;_-@_-"/>
    <numFmt numFmtId="166" formatCode="[$$-409]#,##0_ ;\-[$$-409]#,##0\ "/>
    <numFmt numFmtId="167" formatCode="0.0%"/>
    <numFmt numFmtId="168" formatCode="0.0"/>
    <numFmt numFmtId="169" formatCode="&quot;$&quot;#,##0"/>
    <numFmt numFmtId="170" formatCode="&quot;$&quot;#,##0.00"/>
    <numFmt numFmtId="171" formatCode="[$$-45C]\ #,##0;\-[$$-45C]\ #,##0"/>
  </numFmts>
  <fonts count="53" x14ac:knownFonts="1">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b/>
      <sz val="12"/>
      <color theme="1"/>
      <name val="Calibri"/>
      <family val="2"/>
      <scheme val="minor"/>
    </font>
    <font>
      <sz val="16"/>
      <color theme="1"/>
      <name val="Calibri"/>
      <scheme val="minor"/>
    </font>
    <font>
      <b/>
      <sz val="16"/>
      <color theme="1"/>
      <name val="Calibri"/>
      <scheme val="minor"/>
    </font>
    <font>
      <sz val="14"/>
      <color theme="1"/>
      <name val="Calibri"/>
      <scheme val="minor"/>
    </font>
    <font>
      <b/>
      <sz val="14"/>
      <color theme="1"/>
      <name val="Calibri"/>
      <scheme val="minor"/>
    </font>
    <font>
      <u/>
      <sz val="12"/>
      <color theme="10"/>
      <name val="Calibri"/>
      <family val="2"/>
      <scheme val="minor"/>
    </font>
    <font>
      <u/>
      <sz val="12"/>
      <color theme="11"/>
      <name val="Calibri"/>
      <family val="2"/>
      <scheme val="minor"/>
    </font>
    <font>
      <i/>
      <sz val="14"/>
      <color theme="1"/>
      <name val="Calibri"/>
      <scheme val="minor"/>
    </font>
    <font>
      <b/>
      <sz val="18"/>
      <color theme="1"/>
      <name val="Calibri"/>
      <scheme val="minor"/>
    </font>
    <font>
      <sz val="8"/>
      <name val="Calibri"/>
      <family val="2"/>
      <scheme val="minor"/>
    </font>
    <font>
      <b/>
      <sz val="12"/>
      <color rgb="FF0000FF"/>
      <name val="Calibri"/>
      <scheme val="minor"/>
    </font>
    <font>
      <b/>
      <sz val="14"/>
      <color rgb="FF0000FF"/>
      <name val="Calibri"/>
      <scheme val="minor"/>
    </font>
    <font>
      <b/>
      <sz val="16"/>
      <color rgb="FF0000FF"/>
      <name val="Calibri"/>
      <scheme val="minor"/>
    </font>
    <font>
      <b/>
      <sz val="11"/>
      <color theme="1"/>
      <name val="Calibri"/>
      <scheme val="minor"/>
    </font>
    <font>
      <sz val="12"/>
      <color rgb="FF0000FF"/>
      <name val="Calibri"/>
      <scheme val="minor"/>
    </font>
    <font>
      <sz val="12"/>
      <color rgb="FFFF0000"/>
      <name val="Calibri"/>
      <family val="2"/>
      <scheme val="minor"/>
    </font>
    <font>
      <b/>
      <sz val="18"/>
      <color rgb="FF0000FF"/>
      <name val="Calibri"/>
      <scheme val="minor"/>
    </font>
    <font>
      <sz val="10"/>
      <color theme="1"/>
      <name val="Calibri"/>
      <scheme val="minor"/>
    </font>
    <font>
      <sz val="11"/>
      <color theme="1"/>
      <name val="Calibri"/>
      <scheme val="minor"/>
    </font>
    <font>
      <b/>
      <sz val="22"/>
      <color rgb="FF0000FF"/>
      <name val="Calibri"/>
      <scheme val="minor"/>
    </font>
    <font>
      <sz val="14"/>
      <name val="Calibri"/>
      <scheme val="minor"/>
    </font>
    <font>
      <b/>
      <sz val="14"/>
      <color rgb="FF3366FF"/>
      <name val="Calibri"/>
      <scheme val="minor"/>
    </font>
    <font>
      <b/>
      <sz val="11"/>
      <color rgb="FF3366FF"/>
      <name val="Calibri"/>
      <scheme val="minor"/>
    </font>
    <font>
      <i/>
      <sz val="11"/>
      <color theme="1"/>
      <name val="Calibri"/>
      <scheme val="minor"/>
    </font>
    <font>
      <b/>
      <sz val="11"/>
      <name val="Calibri"/>
      <scheme val="minor"/>
    </font>
    <font>
      <sz val="9"/>
      <color theme="1"/>
      <name val="Calibri"/>
      <scheme val="minor"/>
    </font>
    <font>
      <b/>
      <sz val="9"/>
      <color theme="1"/>
      <name val="Calibri"/>
      <scheme val="minor"/>
    </font>
    <font>
      <sz val="8"/>
      <color theme="1"/>
      <name val="Calibri"/>
      <scheme val="minor"/>
    </font>
    <font>
      <sz val="12"/>
      <name val="Calibri"/>
      <scheme val="minor"/>
    </font>
    <font>
      <sz val="7"/>
      <color theme="1"/>
      <name val="Calibri"/>
      <scheme val="minor"/>
    </font>
    <font>
      <sz val="11"/>
      <name val="Calibri"/>
      <scheme val="minor"/>
    </font>
    <font>
      <b/>
      <sz val="11"/>
      <color rgb="FF0000FF"/>
      <name val="Calibri"/>
      <scheme val="minor"/>
    </font>
    <font>
      <b/>
      <sz val="16"/>
      <color rgb="FF000000"/>
      <name val="Calibri"/>
      <scheme val="minor"/>
    </font>
    <font>
      <sz val="16"/>
      <color rgb="FF000000"/>
      <name val="Calibri"/>
      <scheme val="minor"/>
    </font>
    <font>
      <b/>
      <sz val="12"/>
      <color rgb="FF000000"/>
      <name val="Calibri"/>
      <family val="2"/>
      <scheme val="minor"/>
    </font>
    <font>
      <sz val="14"/>
      <color rgb="FF000000"/>
      <name val="Calibri"/>
      <scheme val="minor"/>
    </font>
    <font>
      <sz val="12"/>
      <color rgb="FF000000"/>
      <name val="Calibri"/>
      <family val="2"/>
      <scheme val="minor"/>
    </font>
    <font>
      <sz val="11"/>
      <color rgb="FF000000"/>
      <name val="Calibri"/>
      <scheme val="minor"/>
    </font>
    <font>
      <b/>
      <sz val="12"/>
      <color rgb="FF3366FF"/>
      <name val="Calibri"/>
      <scheme val="minor"/>
    </font>
    <font>
      <b/>
      <sz val="14"/>
      <color rgb="FFFF0000"/>
      <name val="Calibri"/>
      <scheme val="minor"/>
    </font>
    <font>
      <sz val="11"/>
      <color rgb="FF0000FF"/>
      <name val="Calibri"/>
      <scheme val="minor"/>
    </font>
    <font>
      <b/>
      <sz val="10"/>
      <color rgb="FF0000FF"/>
      <name val="Calibri"/>
      <scheme val="minor"/>
    </font>
    <font>
      <b/>
      <sz val="11"/>
      <color theme="0"/>
      <name val="Calibri"/>
      <scheme val="minor"/>
    </font>
    <font>
      <b/>
      <sz val="11"/>
      <color rgb="FFFFFFFF"/>
      <name val="Calibri"/>
      <scheme val="minor"/>
    </font>
    <font>
      <b/>
      <sz val="9"/>
      <color rgb="FF0000FF"/>
      <name val="Calibri"/>
      <scheme val="minor"/>
    </font>
    <font>
      <b/>
      <sz val="10"/>
      <color rgb="FF3366FF"/>
      <name val="Calibri"/>
      <scheme val="minor"/>
    </font>
    <font>
      <i/>
      <sz val="11"/>
      <color rgb="FF3366FF"/>
      <name val="Calibri"/>
      <scheme val="minor"/>
    </font>
    <font>
      <sz val="11"/>
      <color rgb="FF3366FF"/>
      <name val="Calibri"/>
      <scheme val="minor"/>
    </font>
    <font>
      <b/>
      <sz val="11"/>
      <color rgb="FFFF0000"/>
      <name val="Calibri"/>
      <scheme val="minor"/>
    </font>
  </fonts>
  <fills count="13">
    <fill>
      <patternFill patternType="none"/>
    </fill>
    <fill>
      <patternFill patternType="gray125"/>
    </fill>
    <fill>
      <patternFill patternType="solid">
        <fgColor rgb="FFFFFF00"/>
        <bgColor indexed="64"/>
      </patternFill>
    </fill>
    <fill>
      <patternFill patternType="solid">
        <fgColor theme="2"/>
        <bgColor indexed="64"/>
      </patternFill>
    </fill>
    <fill>
      <patternFill patternType="solid">
        <fgColor theme="0"/>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2" tint="-9.9978637043366805E-2"/>
        <bgColor indexed="64"/>
      </patternFill>
    </fill>
    <fill>
      <patternFill patternType="solid">
        <fgColor theme="0" tint="-4.9989318521683403E-2"/>
        <bgColor indexed="64"/>
      </patternFill>
    </fill>
    <fill>
      <patternFill patternType="solid">
        <fgColor rgb="FFEEECE1"/>
        <bgColor rgb="FF000000"/>
      </patternFill>
    </fill>
    <fill>
      <patternFill patternType="solid">
        <fgColor rgb="FFFFFF00"/>
        <bgColor rgb="FF000000"/>
      </patternFill>
    </fill>
    <fill>
      <patternFill patternType="solid">
        <fgColor theme="1"/>
        <bgColor indexed="64"/>
      </patternFill>
    </fill>
    <fill>
      <patternFill patternType="solid">
        <fgColor rgb="FF000000"/>
        <bgColor rgb="FF000000"/>
      </patternFill>
    </fill>
  </fills>
  <borders count="27">
    <border>
      <left/>
      <right/>
      <top/>
      <bottom/>
      <diagonal/>
    </border>
    <border>
      <left/>
      <right/>
      <top style="medium">
        <color auto="1"/>
      </top>
      <bottom style="medium">
        <color auto="1"/>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right/>
      <top style="thick">
        <color auto="1"/>
      </top>
      <bottom style="thick">
        <color auto="1"/>
      </bottom>
      <diagonal/>
    </border>
    <border>
      <left style="thick">
        <color auto="1"/>
      </left>
      <right style="thick">
        <color auto="1"/>
      </right>
      <top style="thick">
        <color auto="1"/>
      </top>
      <bottom style="thick">
        <color auto="1"/>
      </bottom>
      <diagonal/>
    </border>
    <border>
      <left/>
      <right style="thick">
        <color rgb="FF0000FF"/>
      </right>
      <top style="thick">
        <color rgb="FF0000FF"/>
      </top>
      <bottom style="thick">
        <color rgb="FF0000FF"/>
      </bottom>
      <diagonal/>
    </border>
    <border>
      <left style="thick">
        <color rgb="FF0000FF"/>
      </left>
      <right style="thick">
        <color rgb="FF0000FF"/>
      </right>
      <top style="thick">
        <color rgb="FF0000FF"/>
      </top>
      <bottom style="thick">
        <color rgb="FF0000FF"/>
      </bottom>
      <diagonal/>
    </border>
    <border>
      <left/>
      <right/>
      <top style="thick">
        <color rgb="FF0000FF"/>
      </top>
      <bottom style="thick">
        <color rgb="FF0000FF"/>
      </bottom>
      <diagonal/>
    </border>
    <border>
      <left style="medium">
        <color auto="1"/>
      </left>
      <right/>
      <top style="medium">
        <color auto="1"/>
      </top>
      <bottom/>
      <diagonal/>
    </border>
    <border>
      <left/>
      <right/>
      <top style="medium">
        <color auto="1"/>
      </top>
      <bottom/>
      <diagonal/>
    </border>
    <border>
      <left style="medium">
        <color auto="1"/>
      </left>
      <right/>
      <top/>
      <bottom/>
      <diagonal/>
    </border>
    <border>
      <left/>
      <right style="medium">
        <color auto="1"/>
      </right>
      <top/>
      <bottom/>
      <diagonal/>
    </border>
    <border>
      <left/>
      <right style="medium">
        <color auto="1"/>
      </right>
      <top style="thick">
        <color auto="1"/>
      </top>
      <bottom style="thick">
        <color auto="1"/>
      </bottom>
      <diagonal/>
    </border>
    <border>
      <left style="thick">
        <color auto="1"/>
      </left>
      <right/>
      <top/>
      <bottom style="thick">
        <color rgb="FFFF0000"/>
      </bottom>
      <diagonal/>
    </border>
    <border>
      <left/>
      <right/>
      <top/>
      <bottom style="thick">
        <color rgb="FFFF0000"/>
      </bottom>
      <diagonal/>
    </border>
    <border>
      <left/>
      <right/>
      <top/>
      <bottom style="thick">
        <color rgb="FF0000FF"/>
      </bottom>
      <diagonal/>
    </border>
    <border>
      <left style="thick">
        <color rgb="FFFF0000"/>
      </left>
      <right/>
      <top style="thick">
        <color rgb="FFFF0000"/>
      </top>
      <bottom style="thick">
        <color rgb="FFFF0000"/>
      </bottom>
      <diagonal/>
    </border>
    <border>
      <left/>
      <right/>
      <top style="thick">
        <color rgb="FFFF0000"/>
      </top>
      <bottom style="thick">
        <color rgb="FFFF0000"/>
      </bottom>
      <diagonal/>
    </border>
    <border>
      <left/>
      <right style="thick">
        <color rgb="FFFF0000"/>
      </right>
      <top style="thick">
        <color rgb="FFFF0000"/>
      </top>
      <bottom style="thick">
        <color rgb="FFFF0000"/>
      </bottom>
      <diagonal/>
    </border>
    <border>
      <left/>
      <right style="thick">
        <color auto="1"/>
      </right>
      <top/>
      <bottom style="thick">
        <color rgb="FFFF0000"/>
      </bottom>
      <diagonal/>
    </border>
  </borders>
  <cellStyleXfs count="139">
    <xf numFmtId="0" fontId="0" fillId="0" borderId="0"/>
    <xf numFmtId="9" fontId="3" fillId="0" borderId="0" applyFon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43" fontId="2" fillId="0" borderId="0" applyFon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cellStyleXfs>
  <cellXfs count="303">
    <xf numFmtId="0" fontId="0" fillId="0" borderId="0" xfId="0"/>
    <xf numFmtId="0" fontId="5" fillId="0" borderId="0" xfId="0" applyFont="1" applyAlignment="1">
      <alignment vertical="top" wrapText="1"/>
    </xf>
    <xf numFmtId="0" fontId="5" fillId="0" borderId="0" xfId="0" applyFont="1"/>
    <xf numFmtId="0" fontId="6" fillId="0" borderId="0" xfId="0" applyFont="1"/>
    <xf numFmtId="1" fontId="0" fillId="0" borderId="0" xfId="0" applyNumberFormat="1"/>
    <xf numFmtId="0" fontId="4" fillId="0" borderId="0" xfId="0" applyFont="1"/>
    <xf numFmtId="9" fontId="0" fillId="0" borderId="0" xfId="1" applyFont="1"/>
    <xf numFmtId="9" fontId="0" fillId="0" borderId="0" xfId="1" applyNumberFormat="1" applyFont="1"/>
    <xf numFmtId="9" fontId="0" fillId="0" borderId="0" xfId="0" applyNumberFormat="1"/>
    <xf numFmtId="10" fontId="0" fillId="0" borderId="0" xfId="0" applyNumberFormat="1"/>
    <xf numFmtId="0" fontId="11" fillId="0" borderId="0" xfId="0" applyFont="1" applyAlignment="1">
      <alignment vertical="top" wrapText="1"/>
    </xf>
    <xf numFmtId="0" fontId="11" fillId="0" borderId="0" xfId="0" applyFont="1" applyAlignment="1">
      <alignment horizontal="center" vertical="top" wrapText="1"/>
    </xf>
    <xf numFmtId="0" fontId="5" fillId="0" borderId="0" xfId="0" applyFont="1" applyBorder="1" applyAlignment="1">
      <alignment vertical="top" wrapText="1"/>
    </xf>
    <xf numFmtId="164" fontId="5" fillId="0" borderId="0" xfId="1" applyNumberFormat="1" applyFont="1" applyAlignment="1">
      <alignment vertical="top"/>
    </xf>
    <xf numFmtId="164" fontId="6" fillId="0" borderId="0" xfId="1" applyNumberFormat="1" applyFont="1" applyAlignment="1">
      <alignment vertical="top"/>
    </xf>
    <xf numFmtId="164" fontId="5" fillId="2" borderId="0" xfId="1" applyNumberFormat="1" applyFont="1" applyFill="1" applyAlignment="1">
      <alignment vertical="top"/>
    </xf>
    <xf numFmtId="165" fontId="5" fillId="2" borderId="0" xfId="12" applyNumberFormat="1" applyFont="1" applyFill="1" applyAlignment="1">
      <alignment vertical="top"/>
    </xf>
    <xf numFmtId="0" fontId="4" fillId="3" borderId="0" xfId="0" applyFont="1" applyFill="1"/>
    <xf numFmtId="9" fontId="5" fillId="2" borderId="0" xfId="1" applyFont="1" applyFill="1" applyAlignment="1">
      <alignment vertical="top"/>
    </xf>
    <xf numFmtId="0" fontId="0" fillId="0" borderId="0" xfId="0" applyAlignment="1">
      <alignment vertical="top"/>
    </xf>
    <xf numFmtId="0" fontId="8" fillId="3" borderId="0" xfId="0" applyFont="1" applyFill="1"/>
    <xf numFmtId="0" fontId="7" fillId="0" borderId="0" xfId="0" applyFont="1"/>
    <xf numFmtId="9" fontId="7" fillId="0" borderId="0" xfId="1" applyFont="1"/>
    <xf numFmtId="0" fontId="0" fillId="3" borderId="0" xfId="0" applyFill="1"/>
    <xf numFmtId="0" fontId="4" fillId="3" borderId="0" xfId="0" applyFont="1" applyFill="1" applyAlignment="1">
      <alignment horizontal="left"/>
    </xf>
    <xf numFmtId="0" fontId="0" fillId="0" borderId="5" xfId="0" applyBorder="1"/>
    <xf numFmtId="0" fontId="15" fillId="0" borderId="0" xfId="0" applyFont="1"/>
    <xf numFmtId="0" fontId="8" fillId="3" borderId="0" xfId="0" applyFont="1" applyFill="1" applyAlignment="1">
      <alignment horizontal="right"/>
    </xf>
    <xf numFmtId="0" fontId="14" fillId="0" borderId="0" xfId="0" applyFont="1"/>
    <xf numFmtId="0" fontId="4" fillId="0" borderId="0" xfId="0" applyFont="1" applyFill="1" applyAlignment="1">
      <alignment horizontal="left"/>
    </xf>
    <xf numFmtId="164" fontId="4" fillId="4" borderId="0" xfId="1" applyNumberFormat="1" applyFont="1" applyFill="1" applyAlignment="1">
      <alignment horizontal="right" vertical="top"/>
    </xf>
    <xf numFmtId="167" fontId="0" fillId="2" borderId="0" xfId="1" applyNumberFormat="1" applyFont="1" applyFill="1"/>
    <xf numFmtId="0" fontId="14" fillId="0" borderId="0" xfId="0" applyFont="1" applyAlignment="1">
      <alignment vertical="top" wrapText="1"/>
    </xf>
    <xf numFmtId="0" fontId="18" fillId="0" borderId="0" xfId="0" applyFont="1"/>
    <xf numFmtId="0" fontId="0" fillId="0" borderId="3" xfId="0" applyBorder="1"/>
    <xf numFmtId="0" fontId="0" fillId="0" borderId="0" xfId="0" applyBorder="1"/>
    <xf numFmtId="0" fontId="0" fillId="0" borderId="6" xfId="0" applyBorder="1"/>
    <xf numFmtId="169" fontId="0" fillId="0" borderId="0" xfId="0" applyNumberFormat="1" applyFont="1" applyBorder="1"/>
    <xf numFmtId="9" fontId="16" fillId="0" borderId="0" xfId="1" applyNumberFormat="1" applyFont="1"/>
    <xf numFmtId="0" fontId="19" fillId="0" borderId="0" xfId="0" applyFont="1"/>
    <xf numFmtId="0" fontId="12" fillId="0" borderId="10" xfId="0" applyFont="1" applyBorder="1" applyAlignment="1">
      <alignment vertical="top" wrapText="1"/>
    </xf>
    <xf numFmtId="0" fontId="0" fillId="0" borderId="10" xfId="0" applyBorder="1"/>
    <xf numFmtId="0" fontId="0" fillId="0" borderId="0" xfId="0" applyBorder="1" applyAlignment="1">
      <alignment vertical="top"/>
    </xf>
    <xf numFmtId="165" fontId="5" fillId="2" borderId="0" xfId="12" applyNumberFormat="1" applyFont="1" applyFill="1" applyBorder="1" applyAlignment="1">
      <alignment vertical="top"/>
    </xf>
    <xf numFmtId="0" fontId="7" fillId="0" borderId="0" xfId="0" applyFont="1" applyAlignment="1">
      <alignment horizontal="left"/>
    </xf>
    <xf numFmtId="164" fontId="6" fillId="0" borderId="0" xfId="1" applyNumberFormat="1" applyFont="1" applyBorder="1" applyAlignment="1">
      <alignment vertical="top"/>
    </xf>
    <xf numFmtId="164" fontId="5" fillId="2" borderId="0" xfId="1" applyNumberFormat="1" applyFont="1" applyFill="1" applyBorder="1" applyAlignment="1">
      <alignment vertical="top"/>
    </xf>
    <xf numFmtId="0" fontId="20" fillId="0" borderId="0" xfId="0" applyFont="1"/>
    <xf numFmtId="0" fontId="12" fillId="0" borderId="0" xfId="0" applyFont="1" applyBorder="1" applyAlignment="1">
      <alignment vertical="top" wrapText="1"/>
    </xf>
    <xf numFmtId="0" fontId="0" fillId="0" borderId="0" xfId="0" applyFont="1" applyFill="1" applyAlignment="1">
      <alignment horizontal="left"/>
    </xf>
    <xf numFmtId="1" fontId="8" fillId="0" borderId="0" xfId="0" applyNumberFormat="1" applyFont="1"/>
    <xf numFmtId="0" fontId="7" fillId="6" borderId="0" xfId="0" applyFont="1" applyFill="1"/>
    <xf numFmtId="167" fontId="18" fillId="0" borderId="0" xfId="0" applyNumberFormat="1" applyFont="1"/>
    <xf numFmtId="167" fontId="0" fillId="2" borderId="0" xfId="0" applyNumberFormat="1" applyFill="1"/>
    <xf numFmtId="9" fontId="0" fillId="2" borderId="0" xfId="0" applyNumberFormat="1" applyFill="1"/>
    <xf numFmtId="0" fontId="7" fillId="6" borderId="0" xfId="0" applyFont="1" applyFill="1" applyAlignment="1">
      <alignment horizontal="left"/>
    </xf>
    <xf numFmtId="1" fontId="7" fillId="6" borderId="0" xfId="0" applyNumberFormat="1" applyFont="1" applyFill="1"/>
    <xf numFmtId="164" fontId="6" fillId="0" borderId="10" xfId="1" applyNumberFormat="1" applyFont="1" applyFill="1" applyBorder="1" applyAlignment="1">
      <alignment vertical="top"/>
    </xf>
    <xf numFmtId="0" fontId="22" fillId="0" borderId="0" xfId="0" applyFont="1"/>
    <xf numFmtId="0" fontId="0" fillId="0" borderId="0" xfId="0" applyAlignment="1">
      <alignment wrapText="1"/>
    </xf>
    <xf numFmtId="0" fontId="16" fillId="4" borderId="0" xfId="0" applyFont="1" applyFill="1" applyAlignment="1">
      <alignment wrapText="1"/>
    </xf>
    <xf numFmtId="0" fontId="7" fillId="0" borderId="0" xfId="0" applyFont="1" applyAlignment="1">
      <alignment vertical="top" wrapText="1"/>
    </xf>
    <xf numFmtId="0" fontId="0" fillId="0" borderId="0" xfId="0" applyAlignment="1">
      <alignment vertical="top" wrapText="1"/>
    </xf>
    <xf numFmtId="0" fontId="0" fillId="0" borderId="0" xfId="0" applyAlignment="1">
      <alignment wrapText="1"/>
    </xf>
    <xf numFmtId="0" fontId="7" fillId="0" borderId="0" xfId="0" applyFont="1" applyAlignment="1">
      <alignment vertical="top" wrapText="1"/>
    </xf>
    <xf numFmtId="0" fontId="0" fillId="0" borderId="0" xfId="0" applyAlignment="1">
      <alignment vertical="top" wrapText="1"/>
    </xf>
    <xf numFmtId="0" fontId="23" fillId="0" borderId="0" xfId="0" applyFont="1"/>
    <xf numFmtId="17" fontId="16" fillId="0" borderId="0" xfId="0" applyNumberFormat="1" applyFont="1" applyAlignment="1">
      <alignment horizontal="center" vertical="top" wrapText="1"/>
    </xf>
    <xf numFmtId="0" fontId="18" fillId="0" borderId="0" xfId="0" applyFont="1" applyAlignment="1">
      <alignment horizontal="center" vertical="top" wrapText="1"/>
    </xf>
    <xf numFmtId="9" fontId="5" fillId="0" borderId="0" xfId="1" applyFont="1" applyAlignment="1">
      <alignment vertical="top"/>
    </xf>
    <xf numFmtId="0" fontId="16" fillId="0" borderId="0" xfId="0" applyFont="1" applyAlignment="1">
      <alignment vertical="top" wrapText="1"/>
    </xf>
    <xf numFmtId="0" fontId="22" fillId="0" borderId="0" xfId="0" applyFont="1" applyAlignment="1">
      <alignment vertical="top"/>
    </xf>
    <xf numFmtId="165" fontId="22" fillId="0" borderId="0" xfId="12" applyNumberFormat="1" applyFont="1"/>
    <xf numFmtId="0" fontId="25" fillId="0" borderId="0" xfId="0" applyFont="1" applyBorder="1"/>
    <xf numFmtId="169" fontId="22" fillId="0" borderId="0" xfId="0" applyNumberFormat="1" applyFont="1"/>
    <xf numFmtId="164" fontId="22" fillId="0" borderId="0" xfId="0" applyNumberFormat="1" applyFont="1"/>
    <xf numFmtId="0" fontId="22" fillId="0" borderId="0" xfId="0" applyFont="1" applyAlignment="1">
      <alignment horizontal="left"/>
    </xf>
    <xf numFmtId="0" fontId="4" fillId="7" borderId="0" xfId="0" applyFont="1" applyFill="1" applyAlignment="1">
      <alignment horizontal="right"/>
    </xf>
    <xf numFmtId="0" fontId="27" fillId="0" borderId="0" xfId="0" applyFont="1"/>
    <xf numFmtId="168" fontId="22" fillId="0" borderId="0" xfId="0" applyNumberFormat="1" applyFont="1"/>
    <xf numFmtId="168" fontId="22" fillId="0" borderId="0" xfId="12" applyNumberFormat="1" applyFont="1"/>
    <xf numFmtId="2" fontId="22" fillId="0" borderId="0" xfId="0" applyNumberFormat="1" applyFont="1"/>
    <xf numFmtId="164" fontId="17" fillId="4" borderId="0" xfId="1" applyNumberFormat="1" applyFont="1" applyFill="1" applyAlignment="1">
      <alignment horizontal="right" vertical="top"/>
    </xf>
    <xf numFmtId="0" fontId="28" fillId="0" borderId="0" xfId="0" applyFont="1"/>
    <xf numFmtId="164" fontId="17" fillId="0" borderId="0" xfId="1" applyNumberFormat="1" applyFont="1" applyAlignment="1">
      <alignment vertical="top"/>
    </xf>
    <xf numFmtId="0" fontId="15" fillId="0" borderId="2" xfId="0" applyFont="1" applyBorder="1"/>
    <xf numFmtId="0" fontId="31" fillId="0" borderId="0" xfId="0" applyFont="1"/>
    <xf numFmtId="0" fontId="15" fillId="0" borderId="5" xfId="0" applyFont="1" applyBorder="1"/>
    <xf numFmtId="0" fontId="18" fillId="0" borderId="0" xfId="0" applyFont="1" applyBorder="1"/>
    <xf numFmtId="43" fontId="31" fillId="0" borderId="0" xfId="12" applyFont="1"/>
    <xf numFmtId="0" fontId="17" fillId="7" borderId="0" xfId="0" applyFont="1" applyFill="1" applyAlignment="1">
      <alignment horizontal="right"/>
    </xf>
    <xf numFmtId="0" fontId="0" fillId="0" borderId="0" xfId="0" applyFont="1"/>
    <xf numFmtId="9" fontId="0" fillId="2" borderId="0" xfId="1" applyNumberFormat="1" applyFont="1" applyFill="1"/>
    <xf numFmtId="10" fontId="14" fillId="0" borderId="0" xfId="1" applyNumberFormat="1" applyFont="1"/>
    <xf numFmtId="1" fontId="0" fillId="0" borderId="0" xfId="0" applyNumberFormat="1" applyFont="1"/>
    <xf numFmtId="0" fontId="0" fillId="0" borderId="0" xfId="0" applyFont="1" applyAlignment="1">
      <alignment horizontal="left" indent="2"/>
    </xf>
    <xf numFmtId="1" fontId="0" fillId="5" borderId="0" xfId="0" applyNumberFormat="1" applyFont="1" applyFill="1"/>
    <xf numFmtId="1" fontId="8" fillId="3" borderId="0" xfId="0" applyNumberFormat="1" applyFont="1" applyFill="1"/>
    <xf numFmtId="0" fontId="0" fillId="0" borderId="0" xfId="0" applyAlignment="1"/>
    <xf numFmtId="169" fontId="5" fillId="4" borderId="0" xfId="0" applyNumberFormat="1" applyFont="1" applyFill="1" applyAlignment="1">
      <alignment vertical="top"/>
    </xf>
    <xf numFmtId="169" fontId="5" fillId="2" borderId="0" xfId="0" applyNumberFormat="1" applyFont="1" applyFill="1" applyAlignment="1">
      <alignment vertical="top"/>
    </xf>
    <xf numFmtId="164" fontId="6" fillId="4" borderId="0" xfId="1" applyNumberFormat="1" applyFont="1" applyFill="1" applyAlignment="1">
      <alignment horizontal="right" vertical="top"/>
    </xf>
    <xf numFmtId="169" fontId="0" fillId="0" borderId="8" xfId="0" applyNumberFormat="1" applyFont="1" applyBorder="1"/>
    <xf numFmtId="0" fontId="32" fillId="0" borderId="0" xfId="0" applyFont="1" applyAlignment="1">
      <alignment horizontal="right"/>
    </xf>
    <xf numFmtId="0" fontId="7" fillId="0" borderId="0" xfId="0" applyFont="1" applyBorder="1" applyAlignment="1">
      <alignment vertical="top" wrapText="1"/>
    </xf>
    <xf numFmtId="0" fontId="33" fillId="0" borderId="0" xfId="0" applyFont="1"/>
    <xf numFmtId="0" fontId="31" fillId="8" borderId="0" xfId="0" applyFont="1" applyFill="1"/>
    <xf numFmtId="1" fontId="30" fillId="8" borderId="0" xfId="0" applyNumberFormat="1" applyFont="1" applyFill="1"/>
    <xf numFmtId="9" fontId="29" fillId="8" borderId="0" xfId="1" applyNumberFormat="1" applyFont="1" applyFill="1"/>
    <xf numFmtId="0" fontId="29" fillId="8" borderId="0" xfId="0" applyFont="1" applyFill="1"/>
    <xf numFmtId="0" fontId="7" fillId="0" borderId="0" xfId="0" applyFont="1" applyAlignment="1">
      <alignment vertical="top" wrapText="1"/>
    </xf>
    <xf numFmtId="0" fontId="0" fillId="0" borderId="0" xfId="0" applyAlignment="1">
      <alignment wrapText="1"/>
    </xf>
    <xf numFmtId="0" fontId="22" fillId="0" borderId="0" xfId="0" applyFont="1" applyAlignment="1">
      <alignment vertical="top" wrapText="1"/>
    </xf>
    <xf numFmtId="0" fontId="22" fillId="0" borderId="0" xfId="0" applyFont="1" applyAlignment="1">
      <alignment wrapText="1"/>
    </xf>
    <xf numFmtId="0" fontId="0" fillId="0" borderId="0" xfId="0" applyAlignment="1">
      <alignment vertical="top" wrapText="1"/>
    </xf>
    <xf numFmtId="164" fontId="6" fillId="0" borderId="0" xfId="1" applyNumberFormat="1" applyFont="1" applyFill="1" applyBorder="1" applyAlignment="1">
      <alignment vertical="top"/>
    </xf>
    <xf numFmtId="0" fontId="0" fillId="0" borderId="0" xfId="0" applyAlignment="1">
      <alignment horizontal="right"/>
    </xf>
    <xf numFmtId="170" fontId="5" fillId="2" borderId="0" xfId="0" applyNumberFormat="1" applyFont="1" applyFill="1" applyAlignment="1">
      <alignment horizontal="right" vertical="top" wrapText="1"/>
    </xf>
    <xf numFmtId="170" fontId="5" fillId="2" borderId="0" xfId="0" applyNumberFormat="1" applyFont="1" applyFill="1" applyAlignment="1">
      <alignment horizontal="right" vertical="top"/>
    </xf>
    <xf numFmtId="0" fontId="0" fillId="2" borderId="0" xfId="0" applyFill="1" applyAlignment="1">
      <alignment horizontal="right" vertical="top"/>
    </xf>
    <xf numFmtId="0" fontId="0" fillId="0" borderId="0" xfId="0" applyAlignment="1">
      <alignment horizontal="right" vertical="top" wrapText="1"/>
    </xf>
    <xf numFmtId="164" fontId="6" fillId="0" borderId="11" xfId="1" applyNumberFormat="1" applyFont="1" applyFill="1" applyBorder="1" applyAlignment="1">
      <alignment vertical="top"/>
    </xf>
    <xf numFmtId="164" fontId="6" fillId="0" borderId="11" xfId="1" applyNumberFormat="1" applyFont="1" applyBorder="1" applyAlignment="1">
      <alignment vertical="top"/>
    </xf>
    <xf numFmtId="0" fontId="28" fillId="0" borderId="0" xfId="0" applyFont="1" applyAlignment="1">
      <alignment horizontal="right"/>
    </xf>
    <xf numFmtId="0" fontId="34" fillId="0" borderId="0" xfId="0" applyFont="1"/>
    <xf numFmtId="0" fontId="22" fillId="0" borderId="0" xfId="0" applyFont="1" applyBorder="1"/>
    <xf numFmtId="0" fontId="40" fillId="9" borderId="0" xfId="0" applyFont="1" applyFill="1" applyBorder="1"/>
    <xf numFmtId="0" fontId="37" fillId="9" borderId="0" xfId="0" applyFont="1" applyFill="1" applyBorder="1"/>
    <xf numFmtId="0" fontId="39" fillId="9" borderId="0" xfId="0" applyFont="1" applyFill="1" applyBorder="1"/>
    <xf numFmtId="166" fontId="41" fillId="9" borderId="0" xfId="0" applyNumberFormat="1" applyFont="1" applyFill="1" applyBorder="1"/>
    <xf numFmtId="0" fontId="4" fillId="0" borderId="10" xfId="0" applyFont="1" applyBorder="1" applyAlignment="1">
      <alignment vertical="top" wrapText="1"/>
    </xf>
    <xf numFmtId="0" fontId="8" fillId="2" borderId="10" xfId="0" applyFont="1" applyFill="1" applyBorder="1" applyAlignment="1">
      <alignment vertical="top" wrapText="1"/>
    </xf>
    <xf numFmtId="164" fontId="16" fillId="0" borderId="13" xfId="1" applyNumberFormat="1" applyFont="1" applyBorder="1" applyAlignment="1">
      <alignment vertical="top"/>
    </xf>
    <xf numFmtId="164" fontId="16" fillId="0" borderId="12" xfId="1" applyNumberFormat="1" applyFont="1" applyBorder="1" applyAlignment="1">
      <alignment vertical="top"/>
    </xf>
    <xf numFmtId="0" fontId="38" fillId="9" borderId="16" xfId="0" applyFont="1" applyFill="1" applyBorder="1" applyAlignment="1">
      <alignment horizontal="right" vertical="top" wrapText="1"/>
    </xf>
    <xf numFmtId="0" fontId="39" fillId="9" borderId="17" xfId="0" applyFont="1" applyFill="1" applyBorder="1"/>
    <xf numFmtId="165" fontId="40" fillId="9" borderId="18" xfId="12" applyNumberFormat="1" applyFont="1" applyFill="1" applyBorder="1" applyAlignment="1">
      <alignment horizontal="right"/>
    </xf>
    <xf numFmtId="0" fontId="39" fillId="9" borderId="17" xfId="0" applyFont="1" applyFill="1" applyBorder="1" applyAlignment="1">
      <alignment wrapText="1"/>
    </xf>
    <xf numFmtId="171" fontId="40" fillId="9" borderId="18" xfId="12" applyNumberFormat="1" applyFont="1" applyFill="1" applyBorder="1" applyAlignment="1">
      <alignment horizontal="right"/>
    </xf>
    <xf numFmtId="0" fontId="39" fillId="9" borderId="10" xfId="0" applyFont="1" applyFill="1" applyBorder="1"/>
    <xf numFmtId="166" fontId="41" fillId="9" borderId="10" xfId="0" applyNumberFormat="1" applyFont="1" applyFill="1" applyBorder="1"/>
    <xf numFmtId="164" fontId="8" fillId="0" borderId="0" xfId="1" applyNumberFormat="1" applyFont="1" applyBorder="1" applyAlignment="1">
      <alignment vertical="top"/>
    </xf>
    <xf numFmtId="0" fontId="18" fillId="0" borderId="14" xfId="0" applyFont="1" applyBorder="1" applyAlignment="1">
      <alignment vertical="top"/>
    </xf>
    <xf numFmtId="0" fontId="5" fillId="2" borderId="0" xfId="0" applyFont="1" applyFill="1" applyAlignment="1">
      <alignment vertical="top"/>
    </xf>
    <xf numFmtId="0" fontId="0" fillId="0" borderId="0" xfId="0" applyFill="1" applyAlignment="1">
      <alignment vertical="top"/>
    </xf>
    <xf numFmtId="9" fontId="5" fillId="0" borderId="0" xfId="1" applyFont="1" applyFill="1" applyAlignment="1">
      <alignment vertical="top"/>
    </xf>
    <xf numFmtId="168" fontId="5" fillId="0" borderId="0" xfId="0" applyNumberFormat="1" applyFont="1" applyFill="1" applyAlignment="1">
      <alignment vertical="top"/>
    </xf>
    <xf numFmtId="0" fontId="7" fillId="0" borderId="0" xfId="0" applyFont="1" applyAlignment="1">
      <alignment vertical="top"/>
    </xf>
    <xf numFmtId="0" fontId="0" fillId="0" borderId="5" xfId="0" applyBorder="1" applyAlignment="1">
      <alignment horizontal="right"/>
    </xf>
    <xf numFmtId="169" fontId="0" fillId="0" borderId="5" xfId="0" applyNumberFormat="1" applyBorder="1" applyAlignment="1">
      <alignment horizontal="right" vertical="top"/>
    </xf>
    <xf numFmtId="169" fontId="0" fillId="0" borderId="7" xfId="0" applyNumberFormat="1" applyBorder="1" applyAlignment="1">
      <alignment horizontal="right" vertical="top"/>
    </xf>
    <xf numFmtId="0" fontId="0" fillId="0" borderId="7" xfId="0" applyBorder="1" applyAlignment="1">
      <alignment horizontal="right"/>
    </xf>
    <xf numFmtId="0" fontId="0" fillId="0" borderId="0" xfId="0" applyBorder="1" applyAlignment="1">
      <alignment horizontal="right"/>
    </xf>
    <xf numFmtId="0" fontId="0" fillId="0" borderId="20" xfId="0" applyBorder="1" applyAlignment="1">
      <alignment horizontal="right"/>
    </xf>
    <xf numFmtId="169" fontId="0" fillId="0" borderId="21" xfId="0" applyNumberFormat="1" applyBorder="1" applyAlignment="1">
      <alignment horizontal="right"/>
    </xf>
    <xf numFmtId="0" fontId="42" fillId="0" borderId="2" xfId="0" applyFont="1" applyBorder="1"/>
    <xf numFmtId="0" fontId="0" fillId="0" borderId="8" xfId="0" applyBorder="1" applyAlignment="1">
      <alignment horizontal="right"/>
    </xf>
    <xf numFmtId="0" fontId="21" fillId="0" borderId="0" xfId="0" applyFont="1" applyBorder="1" applyAlignment="1">
      <alignment horizontal="center"/>
    </xf>
    <xf numFmtId="0" fontId="0" fillId="0" borderId="0" xfId="0" applyBorder="1" applyAlignment="1">
      <alignment horizontal="center"/>
    </xf>
    <xf numFmtId="0" fontId="21" fillId="0" borderId="0" xfId="0" applyFont="1" applyBorder="1" applyAlignment="1">
      <alignment horizontal="center" vertical="top"/>
    </xf>
    <xf numFmtId="0" fontId="22" fillId="0" borderId="0" xfId="0" applyFont="1" applyFill="1"/>
    <xf numFmtId="0" fontId="43" fillId="0" borderId="0" xfId="0" applyFont="1" applyFill="1" applyAlignment="1">
      <alignment horizontal="left"/>
    </xf>
    <xf numFmtId="0" fontId="43" fillId="0" borderId="0" xfId="0" applyFont="1" applyAlignment="1">
      <alignment horizontal="left"/>
    </xf>
    <xf numFmtId="0" fontId="35" fillId="0" borderId="10" xfId="0" applyFont="1" applyBorder="1" applyAlignment="1">
      <alignment horizontal="left"/>
    </xf>
    <xf numFmtId="0" fontId="44" fillId="0" borderId="10" xfId="0" applyFont="1" applyBorder="1"/>
    <xf numFmtId="169" fontId="45" fillId="0" borderId="10" xfId="0" applyNumberFormat="1" applyFont="1" applyBorder="1"/>
    <xf numFmtId="0" fontId="44" fillId="0" borderId="0" xfId="0" applyFont="1" applyAlignment="1">
      <alignment horizontal="left"/>
    </xf>
    <xf numFmtId="0" fontId="44" fillId="0" borderId="0" xfId="0" applyFont="1"/>
    <xf numFmtId="0" fontId="35" fillId="0" borderId="1" xfId="0" applyFont="1" applyBorder="1"/>
    <xf numFmtId="0" fontId="35" fillId="0" borderId="1" xfId="0" applyFont="1" applyBorder="1" applyAlignment="1">
      <alignment horizontal="left"/>
    </xf>
    <xf numFmtId="0" fontId="26" fillId="0" borderId="14" xfId="0" applyFont="1" applyBorder="1"/>
    <xf numFmtId="1" fontId="26" fillId="0" borderId="14" xfId="0" applyNumberFormat="1" applyFont="1" applyBorder="1"/>
    <xf numFmtId="5" fontId="26" fillId="0" borderId="14" xfId="0" applyNumberFormat="1" applyFont="1" applyBorder="1"/>
    <xf numFmtId="164" fontId="22" fillId="0" borderId="0" xfId="0" applyNumberFormat="1" applyFont="1" applyAlignment="1">
      <alignment horizontal="right"/>
    </xf>
    <xf numFmtId="0" fontId="0" fillId="0" borderId="0" xfId="0" applyAlignment="1">
      <alignment horizontal="left"/>
    </xf>
    <xf numFmtId="0" fontId="35" fillId="0" borderId="0" xfId="0" applyFont="1" applyAlignment="1">
      <alignment horizontal="left"/>
    </xf>
    <xf numFmtId="169" fontId="35" fillId="0" borderId="0" xfId="0" applyNumberFormat="1" applyFont="1"/>
    <xf numFmtId="0" fontId="35" fillId="0" borderId="0" xfId="0" applyFont="1"/>
    <xf numFmtId="164" fontId="35" fillId="0" borderId="0" xfId="0" applyNumberFormat="1" applyFont="1"/>
    <xf numFmtId="5" fontId="26" fillId="0" borderId="14" xfId="0" applyNumberFormat="1" applyFont="1" applyBorder="1" applyAlignment="1">
      <alignment horizontal="center"/>
    </xf>
    <xf numFmtId="0" fontId="19" fillId="2" borderId="0" xfId="0" applyFont="1" applyFill="1"/>
    <xf numFmtId="0" fontId="46" fillId="11" borderId="0" xfId="0" applyFont="1" applyFill="1" applyBorder="1" applyAlignment="1">
      <alignment horizontal="right" vertical="top"/>
    </xf>
    <xf numFmtId="1" fontId="24" fillId="0" borderId="0" xfId="0" applyNumberFormat="1" applyFont="1" applyFill="1"/>
    <xf numFmtId="1" fontId="7" fillId="0" borderId="0" xfId="0" applyNumberFormat="1" applyFont="1" applyFill="1"/>
    <xf numFmtId="1" fontId="0" fillId="4" borderId="0" xfId="0" applyNumberFormat="1" applyFont="1" applyFill="1" applyAlignment="1"/>
    <xf numFmtId="1" fontId="0" fillId="4" borderId="0" xfId="0" applyNumberFormat="1" applyFont="1" applyFill="1"/>
    <xf numFmtId="1" fontId="4" fillId="0" borderId="0" xfId="0" applyNumberFormat="1" applyFont="1" applyAlignment="1"/>
    <xf numFmtId="1" fontId="8" fillId="0" borderId="0" xfId="0" applyNumberFormat="1" applyFont="1" applyAlignment="1"/>
    <xf numFmtId="9" fontId="0" fillId="2" borderId="0" xfId="1" applyFont="1" applyFill="1"/>
    <xf numFmtId="0" fontId="16" fillId="0" borderId="0" xfId="0" applyFont="1" applyAlignment="1">
      <alignment horizontal="left"/>
    </xf>
    <xf numFmtId="0" fontId="0" fillId="0" borderId="2" xfId="0" applyBorder="1"/>
    <xf numFmtId="0" fontId="0" fillId="0" borderId="7" xfId="0" applyBorder="1"/>
    <xf numFmtId="164" fontId="5" fillId="0" borderId="0" xfId="1" applyNumberFormat="1" applyFont="1" applyFill="1" applyAlignment="1">
      <alignment vertical="top"/>
    </xf>
    <xf numFmtId="0" fontId="0" fillId="0" borderId="0" xfId="0" applyAlignment="1">
      <alignment wrapText="1"/>
    </xf>
    <xf numFmtId="0" fontId="47" fillId="12" borderId="4" xfId="0" applyFont="1" applyFill="1" applyBorder="1" applyAlignment="1">
      <alignment horizontal="right" vertical="top"/>
    </xf>
    <xf numFmtId="0" fontId="0" fillId="0" borderId="0" xfId="0" applyFont="1" applyAlignment="1">
      <alignment horizontal="left"/>
    </xf>
    <xf numFmtId="0" fontId="31" fillId="8" borderId="0" xfId="0" applyFont="1" applyFill="1" applyAlignment="1">
      <alignment horizontal="center"/>
    </xf>
    <xf numFmtId="0" fontId="31" fillId="8" borderId="0" xfId="0" applyFont="1" applyFill="1" applyAlignment="1">
      <alignment horizontal="right"/>
    </xf>
    <xf numFmtId="1" fontId="31" fillId="8" borderId="0" xfId="0" applyNumberFormat="1" applyFont="1" applyFill="1" applyAlignment="1">
      <alignment horizontal="center"/>
    </xf>
    <xf numFmtId="0" fontId="34" fillId="0" borderId="0" xfId="0" applyFont="1" applyAlignment="1">
      <alignment vertical="top"/>
    </xf>
    <xf numFmtId="0" fontId="35" fillId="0" borderId="0" xfId="0" applyFont="1" applyBorder="1" applyAlignment="1">
      <alignment horizontal="left"/>
    </xf>
    <xf numFmtId="0" fontId="26" fillId="0" borderId="0" xfId="0" applyFont="1" applyBorder="1"/>
    <xf numFmtId="5" fontId="26" fillId="0" borderId="0" xfId="0" applyNumberFormat="1" applyFont="1" applyBorder="1"/>
    <xf numFmtId="5" fontId="26" fillId="0" borderId="0" xfId="0" applyNumberFormat="1" applyFont="1" applyBorder="1" applyAlignment="1">
      <alignment horizontal="center"/>
    </xf>
    <xf numFmtId="0" fontId="31" fillId="8" borderId="0" xfId="0" applyFont="1" applyFill="1" applyAlignment="1">
      <alignment horizontal="right" vertical="top"/>
    </xf>
    <xf numFmtId="0" fontId="31" fillId="8" borderId="0" xfId="0" applyFont="1" applyFill="1" applyAlignment="1">
      <alignment horizontal="right" vertical="top" wrapText="1"/>
    </xf>
    <xf numFmtId="0" fontId="21" fillId="0" borderId="0" xfId="0" applyFont="1"/>
    <xf numFmtId="167" fontId="15" fillId="0" borderId="0" xfId="0" applyNumberFormat="1" applyFont="1"/>
    <xf numFmtId="10" fontId="14" fillId="0" borderId="0" xfId="1" applyNumberFormat="1" applyFont="1" applyAlignment="1">
      <alignment horizontal="right"/>
    </xf>
    <xf numFmtId="166" fontId="40" fillId="10" borderId="18" xfId="0" applyNumberFormat="1" applyFont="1" applyFill="1" applyBorder="1" applyAlignment="1">
      <alignment horizontal="right"/>
    </xf>
    <xf numFmtId="10" fontId="40" fillId="10" borderId="18" xfId="0" applyNumberFormat="1" applyFont="1" applyFill="1" applyBorder="1" applyAlignment="1">
      <alignment horizontal="right"/>
    </xf>
    <xf numFmtId="0" fontId="40" fillId="10" borderId="18" xfId="0" applyFont="1" applyFill="1" applyBorder="1" applyAlignment="1">
      <alignment horizontal="right"/>
    </xf>
    <xf numFmtId="166" fontId="0" fillId="2" borderId="18" xfId="0" applyNumberFormat="1" applyFont="1" applyFill="1" applyBorder="1" applyAlignment="1">
      <alignment horizontal="right"/>
    </xf>
    <xf numFmtId="166" fontId="40" fillId="9" borderId="18" xfId="0" applyNumberFormat="1" applyFont="1" applyFill="1" applyBorder="1" applyAlignment="1">
      <alignment horizontal="right"/>
    </xf>
    <xf numFmtId="164" fontId="38" fillId="9" borderId="19" xfId="0" applyNumberFormat="1" applyFont="1" applyFill="1" applyBorder="1" applyAlignment="1">
      <alignment horizontal="right" vertical="top"/>
    </xf>
    <xf numFmtId="164" fontId="6" fillId="0" borderId="11" xfId="1" applyNumberFormat="1" applyFont="1" applyBorder="1" applyAlignment="1">
      <alignment horizontal="right" vertical="top"/>
    </xf>
    <xf numFmtId="0" fontId="0" fillId="0" borderId="6" xfId="0" applyBorder="1" applyAlignment="1">
      <alignment horizontal="right"/>
    </xf>
    <xf numFmtId="169" fontId="7" fillId="0" borderId="0" xfId="0" applyNumberFormat="1" applyFont="1" applyBorder="1" applyAlignment="1">
      <alignment horizontal="right" vertical="top"/>
    </xf>
    <xf numFmtId="169" fontId="15" fillId="0" borderId="6" xfId="0" applyNumberFormat="1" applyFont="1" applyBorder="1" applyAlignment="1">
      <alignment horizontal="right" vertical="top"/>
    </xf>
    <xf numFmtId="169" fontId="8" fillId="0" borderId="6" xfId="0" applyNumberFormat="1" applyFont="1" applyBorder="1" applyAlignment="1">
      <alignment horizontal="right" vertical="top"/>
    </xf>
    <xf numFmtId="169" fontId="7" fillId="0" borderId="8" xfId="0" applyNumberFormat="1" applyFont="1" applyBorder="1" applyAlignment="1">
      <alignment horizontal="right" vertical="top"/>
    </xf>
    <xf numFmtId="169" fontId="15" fillId="0" borderId="9" xfId="0" applyNumberFormat="1" applyFont="1" applyBorder="1" applyAlignment="1">
      <alignment horizontal="right" vertical="top"/>
    </xf>
    <xf numFmtId="167" fontId="0" fillId="0" borderId="0" xfId="0" applyNumberFormat="1" applyAlignment="1">
      <alignment horizontal="right"/>
    </xf>
    <xf numFmtId="167" fontId="4" fillId="0" borderId="0" xfId="1" applyNumberFormat="1" applyFont="1" applyAlignment="1">
      <alignment horizontal="right"/>
    </xf>
    <xf numFmtId="1" fontId="0" fillId="0" borderId="0" xfId="0" applyNumberFormat="1" applyAlignment="1">
      <alignment horizontal="right"/>
    </xf>
    <xf numFmtId="165" fontId="0" fillId="0" borderId="0" xfId="12" applyNumberFormat="1" applyFont="1" applyAlignment="1">
      <alignment horizontal="right"/>
    </xf>
    <xf numFmtId="2" fontId="14" fillId="0" borderId="0" xfId="0" applyNumberFormat="1" applyFont="1" applyAlignment="1">
      <alignment horizontal="right"/>
    </xf>
    <xf numFmtId="168" fontId="8" fillId="0" borderId="0" xfId="0" applyNumberFormat="1" applyFont="1" applyAlignment="1">
      <alignment horizontal="right"/>
    </xf>
    <xf numFmtId="167" fontId="0" fillId="0" borderId="3" xfId="0" applyNumberFormat="1" applyBorder="1" applyAlignment="1">
      <alignment horizontal="right"/>
    </xf>
    <xf numFmtId="9" fontId="0" fillId="0" borderId="3" xfId="0" applyNumberFormat="1" applyBorder="1" applyAlignment="1">
      <alignment horizontal="right"/>
    </xf>
    <xf numFmtId="9" fontId="4" fillId="0" borderId="4" xfId="1" applyFont="1" applyBorder="1" applyAlignment="1">
      <alignment horizontal="right"/>
    </xf>
    <xf numFmtId="1" fontId="0" fillId="0" borderId="0" xfId="0" applyNumberFormat="1" applyBorder="1" applyAlignment="1">
      <alignment horizontal="right"/>
    </xf>
    <xf numFmtId="1" fontId="0" fillId="0" borderId="6" xfId="0" applyNumberFormat="1" applyBorder="1" applyAlignment="1">
      <alignment horizontal="right"/>
    </xf>
    <xf numFmtId="165" fontId="0" fillId="0" borderId="0" xfId="12" applyNumberFormat="1" applyFont="1" applyBorder="1" applyAlignment="1">
      <alignment horizontal="right"/>
    </xf>
    <xf numFmtId="2" fontId="14" fillId="0" borderId="6" xfId="0" applyNumberFormat="1" applyFont="1" applyBorder="1" applyAlignment="1">
      <alignment horizontal="right"/>
    </xf>
    <xf numFmtId="0" fontId="0" fillId="0" borderId="9" xfId="0" applyBorder="1" applyAlignment="1">
      <alignment horizontal="right"/>
    </xf>
    <xf numFmtId="0" fontId="19" fillId="0" borderId="0" xfId="0" applyFont="1" applyAlignment="1">
      <alignment horizontal="right"/>
    </xf>
    <xf numFmtId="0" fontId="4" fillId="0" borderId="0" xfId="0" applyFont="1" applyAlignment="1">
      <alignment horizontal="right"/>
    </xf>
    <xf numFmtId="0" fontId="16" fillId="4" borderId="0" xfId="0" applyFont="1" applyFill="1" applyAlignment="1"/>
    <xf numFmtId="0" fontId="16" fillId="0" borderId="0" xfId="0" applyFont="1"/>
    <xf numFmtId="0" fontId="21" fillId="0" borderId="5" xfId="0" applyFont="1" applyBorder="1"/>
    <xf numFmtId="1" fontId="48" fillId="8" borderId="23" xfId="0" applyNumberFormat="1" applyFont="1" applyFill="1" applyBorder="1"/>
    <xf numFmtId="9" fontId="48" fillId="8" borderId="24" xfId="1" applyNumberFormat="1" applyFont="1" applyFill="1" applyBorder="1"/>
    <xf numFmtId="0" fontId="48" fillId="8" borderId="25" xfId="0" applyFont="1" applyFill="1" applyBorder="1"/>
    <xf numFmtId="0" fontId="22" fillId="0" borderId="0" xfId="0" applyFont="1" applyAlignment="1">
      <alignment vertical="top" wrapText="1"/>
    </xf>
    <xf numFmtId="0" fontId="0" fillId="0" borderId="0" xfId="0" applyAlignment="1">
      <alignment vertical="top" wrapText="1"/>
    </xf>
    <xf numFmtId="0" fontId="0" fillId="0" borderId="0" xfId="0" applyAlignment="1">
      <alignment wrapText="1"/>
    </xf>
    <xf numFmtId="0" fontId="16" fillId="0" borderId="0" xfId="0" applyFont="1" applyAlignment="1">
      <alignment vertical="top" wrapText="1"/>
    </xf>
    <xf numFmtId="0" fontId="7" fillId="0" borderId="0" xfId="0" applyFont="1" applyBorder="1" applyAlignment="1">
      <alignment vertical="top" wrapText="1"/>
    </xf>
    <xf numFmtId="0" fontId="0" fillId="0" borderId="0" xfId="0" applyBorder="1" applyAlignment="1">
      <alignment vertical="top" wrapText="1"/>
    </xf>
    <xf numFmtId="0" fontId="39" fillId="9" borderId="17" xfId="0" applyFont="1" applyFill="1" applyBorder="1" applyAlignment="1">
      <alignment wrapText="1"/>
    </xf>
    <xf numFmtId="0" fontId="0" fillId="0" borderId="0" xfId="0" applyBorder="1" applyAlignment="1">
      <alignment wrapText="1"/>
    </xf>
    <xf numFmtId="0" fontId="7" fillId="0" borderId="0" xfId="0" applyFont="1" applyAlignment="1">
      <alignment vertical="top" wrapText="1"/>
    </xf>
    <xf numFmtId="0" fontId="16" fillId="0" borderId="0" xfId="0" applyFont="1" applyBorder="1" applyAlignment="1">
      <alignment vertical="top" wrapText="1"/>
    </xf>
    <xf numFmtId="0" fontId="0" fillId="0" borderId="0" xfId="0" applyAlignment="1"/>
    <xf numFmtId="17" fontId="16" fillId="0" borderId="0" xfId="0" applyNumberFormat="1" applyFont="1" applyAlignment="1">
      <alignment horizontal="center" vertical="top" wrapText="1"/>
    </xf>
    <xf numFmtId="0" fontId="18" fillId="0" borderId="0" xfId="0" applyFont="1" applyAlignment="1">
      <alignment horizontal="center" vertical="top" wrapText="1"/>
    </xf>
    <xf numFmtId="0" fontId="22" fillId="0" borderId="0" xfId="0" applyFont="1" applyAlignment="1">
      <alignment wrapText="1"/>
    </xf>
    <xf numFmtId="0" fontId="24" fillId="0" borderId="0" xfId="0" applyFont="1" applyAlignment="1">
      <alignment vertical="top" wrapText="1"/>
    </xf>
    <xf numFmtId="0" fontId="32" fillId="0" borderId="0" xfId="0" applyFont="1" applyAlignment="1">
      <alignment vertical="top" wrapText="1"/>
    </xf>
    <xf numFmtId="164" fontId="22" fillId="0" borderId="0" xfId="0" applyNumberFormat="1" applyFont="1" applyAlignment="1">
      <alignment horizontal="left" vertical="top" wrapText="1"/>
    </xf>
    <xf numFmtId="0" fontId="0" fillId="0" borderId="0" xfId="0" applyAlignment="1">
      <alignment horizontal="left" vertical="top" wrapText="1"/>
    </xf>
    <xf numFmtId="0" fontId="21" fillId="0" borderId="0" xfId="0" applyFont="1" applyBorder="1" applyAlignment="1">
      <alignment horizontal="center" vertical="top" wrapText="1"/>
    </xf>
    <xf numFmtId="0" fontId="0" fillId="0" borderId="0" xfId="0" applyAlignment="1">
      <alignment horizontal="center" vertical="top" wrapText="1"/>
    </xf>
    <xf numFmtId="0" fontId="39" fillId="9" borderId="17" xfId="0" applyFont="1" applyFill="1" applyBorder="1" applyAlignment="1">
      <alignment vertical="top" wrapText="1"/>
    </xf>
    <xf numFmtId="0" fontId="16" fillId="0" borderId="14" xfId="0" applyFont="1" applyBorder="1" applyAlignment="1">
      <alignment vertical="top" wrapText="1"/>
    </xf>
    <xf numFmtId="0" fontId="0" fillId="0" borderId="14" xfId="0" applyBorder="1" applyAlignment="1">
      <alignment vertical="top" wrapText="1"/>
    </xf>
    <xf numFmtId="0" fontId="31" fillId="8" borderId="0" xfId="0" applyFont="1" applyFill="1" applyAlignment="1">
      <alignment horizontal="center" vertical="top" wrapText="1"/>
    </xf>
    <xf numFmtId="0" fontId="7" fillId="0" borderId="22" xfId="0" applyFont="1" applyBorder="1" applyAlignment="1">
      <alignment vertical="top" wrapText="1"/>
    </xf>
    <xf numFmtId="0" fontId="0" fillId="0" borderId="22" xfId="0" applyBorder="1" applyAlignment="1">
      <alignment vertical="top" wrapText="1"/>
    </xf>
    <xf numFmtId="0" fontId="36" fillId="9" borderId="15" xfId="0" applyFont="1" applyFill="1" applyBorder="1" applyAlignment="1">
      <alignment vertical="top" wrapText="1"/>
    </xf>
    <xf numFmtId="0" fontId="0" fillId="0" borderId="16" xfId="0" applyBorder="1" applyAlignment="1">
      <alignment vertical="top" wrapText="1"/>
    </xf>
    <xf numFmtId="0" fontId="22" fillId="0" borderId="0" xfId="0" applyFont="1" applyFill="1" applyBorder="1" applyAlignment="1">
      <alignment vertical="top"/>
    </xf>
    <xf numFmtId="0" fontId="22" fillId="0" borderId="0" xfId="0" applyFont="1" applyFill="1" applyBorder="1"/>
    <xf numFmtId="169" fontId="22" fillId="0" borderId="0" xfId="0" applyNumberFormat="1" applyFont="1" applyAlignment="1">
      <alignment vertical="top"/>
    </xf>
    <xf numFmtId="9" fontId="0" fillId="0" borderId="0" xfId="0" applyNumberFormat="1" applyBorder="1" applyAlignment="1">
      <alignment horizontal="center"/>
    </xf>
    <xf numFmtId="0" fontId="0" fillId="0" borderId="8" xfId="0" applyBorder="1" applyAlignment="1">
      <alignment horizontal="center"/>
    </xf>
    <xf numFmtId="0" fontId="47" fillId="12" borderId="3" xfId="0" applyFont="1" applyFill="1" applyBorder="1" applyAlignment="1">
      <alignment horizontal="right" vertical="top" wrapText="1"/>
    </xf>
    <xf numFmtId="0" fontId="0" fillId="0" borderId="4" xfId="0" applyBorder="1" applyAlignment="1">
      <alignment wrapText="1"/>
    </xf>
    <xf numFmtId="5" fontId="1" fillId="2" borderId="6" xfId="12" applyNumberFormat="1" applyFont="1" applyFill="1" applyBorder="1" applyAlignment="1">
      <alignment horizontal="center" wrapText="1"/>
    </xf>
    <xf numFmtId="0" fontId="0" fillId="2" borderId="6" xfId="0" applyFill="1" applyBorder="1" applyAlignment="1">
      <alignment horizontal="center" wrapText="1"/>
    </xf>
    <xf numFmtId="0" fontId="21" fillId="0" borderId="6" xfId="0" applyFont="1" applyBorder="1" applyAlignment="1">
      <alignment horizontal="center" vertical="top" wrapText="1"/>
    </xf>
    <xf numFmtId="0" fontId="0" fillId="0" borderId="6" xfId="0" applyBorder="1" applyAlignment="1">
      <alignment horizontal="center" vertical="top" wrapText="1"/>
    </xf>
    <xf numFmtId="169" fontId="0" fillId="0" borderId="6" xfId="0" applyNumberFormat="1" applyBorder="1" applyAlignment="1">
      <alignment horizontal="right" vertical="top"/>
    </xf>
    <xf numFmtId="169" fontId="0" fillId="0" borderId="6" xfId="0" applyNumberFormat="1" applyBorder="1" applyAlignment="1">
      <alignment horizontal="right"/>
    </xf>
    <xf numFmtId="169" fontId="0" fillId="0" borderId="26" xfId="0" applyNumberFormat="1" applyBorder="1" applyAlignment="1">
      <alignment horizontal="right"/>
    </xf>
    <xf numFmtId="169" fontId="0" fillId="0" borderId="9" xfId="0" applyNumberFormat="1" applyBorder="1" applyAlignment="1">
      <alignment horizontal="right"/>
    </xf>
    <xf numFmtId="0" fontId="0" fillId="0" borderId="5" xfId="0" applyBorder="1" applyAlignment="1">
      <alignment horizontal="center" wrapText="1"/>
    </xf>
    <xf numFmtId="0" fontId="0" fillId="0" borderId="5" xfId="0" applyBorder="1" applyAlignment="1">
      <alignment horizontal="left"/>
    </xf>
    <xf numFmtId="0" fontId="0" fillId="0" borderId="0" xfId="0" applyAlignment="1">
      <alignment horizontal="center" vertical="top"/>
    </xf>
    <xf numFmtId="0" fontId="0" fillId="0" borderId="0" xfId="0" applyAlignment="1">
      <alignment horizontal="center" vertical="top"/>
    </xf>
    <xf numFmtId="0" fontId="0" fillId="0" borderId="6" xfId="0" applyBorder="1" applyAlignment="1">
      <alignment horizontal="center" vertical="top" wrapText="1"/>
    </xf>
    <xf numFmtId="0" fontId="0" fillId="0" borderId="0" xfId="0" applyAlignment="1">
      <alignment vertical="top"/>
    </xf>
    <xf numFmtId="164" fontId="21" fillId="0" borderId="0" xfId="0" applyNumberFormat="1" applyFont="1"/>
    <xf numFmtId="5" fontId="49" fillId="0" borderId="14" xfId="0" applyNumberFormat="1" applyFont="1" applyBorder="1"/>
    <xf numFmtId="0" fontId="50" fillId="0" borderId="0" xfId="0" applyFont="1"/>
    <xf numFmtId="0" fontId="51" fillId="0" borderId="0" xfId="0" applyFont="1"/>
    <xf numFmtId="0" fontId="52" fillId="0" borderId="0" xfId="0" applyFont="1" applyBorder="1" applyAlignment="1">
      <alignment horizontal="left"/>
    </xf>
    <xf numFmtId="165" fontId="26" fillId="0" borderId="0" xfId="12" applyNumberFormat="1" applyFont="1" applyBorder="1"/>
    <xf numFmtId="167" fontId="22" fillId="0" borderId="0" xfId="1" applyNumberFormat="1" applyFont="1"/>
    <xf numFmtId="5" fontId="49" fillId="0" borderId="0" xfId="0" applyNumberFormat="1" applyFont="1" applyBorder="1"/>
    <xf numFmtId="165" fontId="40" fillId="10" borderId="18" xfId="12" applyNumberFormat="1" applyFont="1" applyFill="1" applyBorder="1" applyAlignment="1">
      <alignment horizontal="right" vertical="top"/>
    </xf>
    <xf numFmtId="5" fontId="26" fillId="0" borderId="11" xfId="0" applyNumberFormat="1" applyFont="1" applyBorder="1"/>
  </cellXfs>
  <cellStyles count="139">
    <cellStyle name="Comma" xfId="12" builtinId="3"/>
    <cellStyle name="Followed Hyperlink" xfId="3" builtinId="9" hidden="1"/>
    <cellStyle name="Followed Hyperlink" xfId="5" builtinId="9" hidden="1"/>
    <cellStyle name="Followed Hyperlink" xfId="7" builtinId="9" hidden="1"/>
    <cellStyle name="Followed Hyperlink" xfId="9" builtinId="9" hidden="1"/>
    <cellStyle name="Followed Hyperlink" xfId="11"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0" builtinId="9" hidden="1"/>
    <cellStyle name="Followed Hyperlink" xfId="122" builtinId="9" hidden="1"/>
    <cellStyle name="Followed Hyperlink" xfId="124" builtinId="9" hidden="1"/>
    <cellStyle name="Followed Hyperlink" xfId="126" builtinId="9" hidden="1"/>
    <cellStyle name="Followed Hyperlink" xfId="128" builtinId="9" hidden="1"/>
    <cellStyle name="Followed Hyperlink" xfId="130" builtinId="9" hidden="1"/>
    <cellStyle name="Followed Hyperlink" xfId="132" builtinId="9" hidden="1"/>
    <cellStyle name="Followed Hyperlink" xfId="134" builtinId="9" hidden="1"/>
    <cellStyle name="Followed Hyperlink" xfId="136" builtinId="9" hidden="1"/>
    <cellStyle name="Followed Hyperlink" xfId="138" builtinId="9" hidden="1"/>
    <cellStyle name="Hyperlink" xfId="2" builtinId="8" hidden="1"/>
    <cellStyle name="Hyperlink" xfId="4" builtinId="8" hidden="1"/>
    <cellStyle name="Hyperlink" xfId="6" builtinId="8" hidden="1"/>
    <cellStyle name="Hyperlink" xfId="8" builtinId="8" hidden="1"/>
    <cellStyle name="Hyperlink" xfId="10"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5" builtinId="8" hidden="1"/>
    <cellStyle name="Hyperlink" xfId="127" builtinId="8" hidden="1"/>
    <cellStyle name="Hyperlink" xfId="129" builtinId="8" hidden="1"/>
    <cellStyle name="Hyperlink" xfId="131" builtinId="8" hidden="1"/>
    <cellStyle name="Hyperlink" xfId="133" builtinId="8" hidden="1"/>
    <cellStyle name="Hyperlink" xfId="135" builtinId="8" hidden="1"/>
    <cellStyle name="Hyperlink" xfId="137" builtinId="8" hidden="1"/>
    <cellStyle name="Normal" xfId="0" builtinId="0"/>
    <cellStyle name="Percent" xfId="1" builtinId="5"/>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3" Type="http://schemas.openxmlformats.org/officeDocument/2006/relationships/worksheet" Target="worksheets/sheet2.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 Id="rId7"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chartsheet" Target="chartsheets/sheet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overlay val="0"/>
    </c:title>
    <c:autoTitleDeleted val="0"/>
    <c:plotArea>
      <c:layout/>
      <c:barChart>
        <c:barDir val="col"/>
        <c:grouping val="clustered"/>
        <c:varyColors val="0"/>
        <c:ser>
          <c:idx val="0"/>
          <c:order val="0"/>
          <c:tx>
            <c:strRef>
              <c:f>Sheet1!#REF!</c:f>
              <c:strCache>
                <c:ptCount val="1"/>
                <c:pt idx="0">
                  <c:v>#REF!</c:v>
                </c:pt>
              </c:strCache>
            </c:strRef>
          </c:tx>
          <c:invertIfNegative val="0"/>
          <c:val>
            <c:numRef>
              <c:f>Sheet1!$A$57:$N$57</c:f>
              <c:numCache>
                <c:formatCode>General</c:formatCode>
                <c:ptCount val="14"/>
              </c:numCache>
            </c:numRef>
          </c:val>
        </c:ser>
        <c:dLbls>
          <c:showLegendKey val="0"/>
          <c:showVal val="0"/>
          <c:showCatName val="0"/>
          <c:showSerName val="0"/>
          <c:showPercent val="0"/>
          <c:showBubbleSize val="0"/>
        </c:dLbls>
        <c:gapWidth val="150"/>
        <c:axId val="2132880072"/>
        <c:axId val="2132883080"/>
      </c:barChart>
      <c:catAx>
        <c:axId val="2132880072"/>
        <c:scaling>
          <c:orientation val="minMax"/>
        </c:scaling>
        <c:delete val="0"/>
        <c:axPos val="b"/>
        <c:majorTickMark val="out"/>
        <c:minorTickMark val="none"/>
        <c:tickLblPos val="nextTo"/>
        <c:crossAx val="2132883080"/>
        <c:crosses val="autoZero"/>
        <c:auto val="1"/>
        <c:lblAlgn val="ctr"/>
        <c:lblOffset val="100"/>
        <c:noMultiLvlLbl val="0"/>
      </c:catAx>
      <c:valAx>
        <c:axId val="2132883080"/>
        <c:scaling>
          <c:orientation val="minMax"/>
        </c:scaling>
        <c:delete val="0"/>
        <c:axPos val="l"/>
        <c:majorGridlines/>
        <c:numFmt formatCode="General" sourceLinked="1"/>
        <c:majorTickMark val="out"/>
        <c:minorTickMark val="none"/>
        <c:tickLblPos val="nextTo"/>
        <c:crossAx val="2132880072"/>
        <c:crosses val="autoZero"/>
        <c:crossBetween val="between"/>
      </c:valAx>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2.xml"/></Relationships>
</file>

<file path=xl/chartsheets/sheet1.xml><?xml version="1.0" encoding="utf-8"?>
<chartsheet xmlns="http://schemas.openxmlformats.org/spreadsheetml/2006/main" xmlns:r="http://schemas.openxmlformats.org/officeDocument/2006/relationships">
  <sheetPr/>
  <sheetViews>
    <sheetView zoomScale="202" workbookViewId="0" zoomToFit="1"/>
  </sheetViews>
  <pageMargins left="0.75" right="0.75" top="1" bottom="1" header="0.5" footer="0.5"/>
  <drawing r:id="rId1"/>
</chartsheet>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590550</xdr:colOff>
      <xdr:row>371</xdr:row>
      <xdr:rowOff>213360</xdr:rowOff>
    </xdr:from>
    <xdr:to>
      <xdr:col>2</xdr:col>
      <xdr:colOff>414985</xdr:colOff>
      <xdr:row>373</xdr:row>
      <xdr:rowOff>47626</xdr:rowOff>
    </xdr:to>
    <xdr:cxnSp macro="">
      <xdr:nvCxnSpPr>
        <xdr:cNvPr id="4" name="Straight Connector 3"/>
        <xdr:cNvCxnSpPr/>
      </xdr:nvCxnSpPr>
      <xdr:spPr>
        <a:xfrm flipV="1">
          <a:off x="3244850" y="67993260"/>
          <a:ext cx="434035" cy="253366"/>
        </a:xfrm>
        <a:prstGeom prst="line">
          <a:avLst/>
        </a:prstGeom>
        <a:ln>
          <a:solidFill>
            <a:srgbClr val="FF0000"/>
          </a:solidFill>
          <a:tailEnd type="triangle" w="lg"/>
        </a:ln>
      </xdr:spPr>
      <xdr:style>
        <a:lnRef idx="2">
          <a:schemeClr val="accent1"/>
        </a:lnRef>
        <a:fillRef idx="0">
          <a:schemeClr val="accent1"/>
        </a:fillRef>
        <a:effectRef idx="1">
          <a:schemeClr val="accent1"/>
        </a:effectRef>
        <a:fontRef idx="minor">
          <a:schemeClr val="tx1"/>
        </a:fontRef>
      </xdr:style>
    </xdr:cxnSp>
    <xdr:clientData/>
  </xdr:twoCellAnchor>
  <xdr:twoCellAnchor>
    <xdr:from>
      <xdr:col>2</xdr:col>
      <xdr:colOff>446735</xdr:colOff>
      <xdr:row>371</xdr:row>
      <xdr:rowOff>128270</xdr:rowOff>
    </xdr:from>
    <xdr:to>
      <xdr:col>2</xdr:col>
      <xdr:colOff>539750</xdr:colOff>
      <xdr:row>372</xdr:row>
      <xdr:rowOff>69850</xdr:rowOff>
    </xdr:to>
    <xdr:sp macro="" textlink="">
      <xdr:nvSpPr>
        <xdr:cNvPr id="34" name="Left Bracket 33"/>
        <xdr:cNvSpPr/>
      </xdr:nvSpPr>
      <xdr:spPr>
        <a:xfrm>
          <a:off x="3393135" y="60059570"/>
          <a:ext cx="93015" cy="170180"/>
        </a:xfrm>
        <a:prstGeom prst="leftBracket">
          <a:avLst/>
        </a:prstGeom>
        <a:ln>
          <a:solidFill>
            <a:srgbClr val="FF0000"/>
          </a:solidFill>
        </a:ln>
      </xdr:spPr>
      <xdr:style>
        <a:lnRef idx="2">
          <a:schemeClr val="accent1"/>
        </a:lnRef>
        <a:fillRef idx="0">
          <a:schemeClr val="accent1"/>
        </a:fillRef>
        <a:effectRef idx="1">
          <a:schemeClr val="accent1"/>
        </a:effectRef>
        <a:fontRef idx="minor">
          <a:schemeClr val="tx1"/>
        </a:fontRef>
      </xdr:style>
      <xdr:txBody>
        <a:bodyPr wrap="square"/>
        <a:lstStyle/>
        <a:p>
          <a:endParaRPr lang="en-US"/>
        </a:p>
      </xdr:txBody>
    </xdr:sp>
    <xdr:clientData/>
  </xdr:twoCellAnchor>
  <xdr:twoCellAnchor>
    <xdr:from>
      <xdr:col>5</xdr:col>
      <xdr:colOff>57150</xdr:colOff>
      <xdr:row>8</xdr:row>
      <xdr:rowOff>127000</xdr:rowOff>
    </xdr:from>
    <xdr:to>
      <xdr:col>5</xdr:col>
      <xdr:colOff>596900</xdr:colOff>
      <xdr:row>9</xdr:row>
      <xdr:rowOff>31750</xdr:rowOff>
    </xdr:to>
    <xdr:cxnSp macro="">
      <xdr:nvCxnSpPr>
        <xdr:cNvPr id="5" name="Straight Connector 4"/>
        <xdr:cNvCxnSpPr/>
      </xdr:nvCxnSpPr>
      <xdr:spPr>
        <a:xfrm flipH="1">
          <a:off x="5175250" y="2070100"/>
          <a:ext cx="539750" cy="158750"/>
        </a:xfrm>
        <a:prstGeom prst="line">
          <a:avLst/>
        </a:prstGeom>
        <a:ln>
          <a:tailEnd type="triangle" w="lg"/>
        </a:ln>
      </xdr:spPr>
      <xdr:style>
        <a:lnRef idx="2">
          <a:schemeClr val="accent1"/>
        </a:lnRef>
        <a:fillRef idx="0">
          <a:schemeClr val="accent1"/>
        </a:fillRef>
        <a:effectRef idx="1">
          <a:schemeClr val="accent1"/>
        </a:effectRef>
        <a:fontRef idx="minor">
          <a:schemeClr val="tx1"/>
        </a:fontRef>
      </xdr:style>
    </xdr:cxnSp>
    <xdr:clientData/>
  </xdr:twoCellAnchor>
  <xdr:twoCellAnchor>
    <xdr:from>
      <xdr:col>2</xdr:col>
      <xdr:colOff>6350</xdr:colOff>
      <xdr:row>369</xdr:row>
      <xdr:rowOff>146050</xdr:rowOff>
    </xdr:from>
    <xdr:to>
      <xdr:col>2</xdr:col>
      <xdr:colOff>577850</xdr:colOff>
      <xdr:row>371</xdr:row>
      <xdr:rowOff>69850</xdr:rowOff>
    </xdr:to>
    <xdr:cxnSp macro="">
      <xdr:nvCxnSpPr>
        <xdr:cNvPr id="12" name="Straight Connector 11"/>
        <xdr:cNvCxnSpPr/>
      </xdr:nvCxnSpPr>
      <xdr:spPr>
        <a:xfrm>
          <a:off x="3270250" y="67506850"/>
          <a:ext cx="571500" cy="342900"/>
        </a:xfrm>
        <a:prstGeom prst="line">
          <a:avLst/>
        </a:prstGeom>
        <a:ln>
          <a:solidFill>
            <a:srgbClr val="FF0000"/>
          </a:solidFill>
          <a:tailEnd type="triangle" w="lg"/>
        </a:ln>
      </xdr:spPr>
      <xdr:style>
        <a:lnRef idx="2">
          <a:schemeClr val="accent1"/>
        </a:lnRef>
        <a:fillRef idx="0">
          <a:schemeClr val="accent1"/>
        </a:fillRef>
        <a:effectRef idx="1">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absoluteAnchor>
    <xdr:pos x="0" y="0"/>
    <xdr:ext cx="8572500" cy="583045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449"/>
  <sheetViews>
    <sheetView tabSelected="1" topLeftCell="A279" zoomScale="200" zoomScaleNormal="200" zoomScalePageLayoutView="200" workbookViewId="0">
      <selection activeCell="A300" sqref="A300:XFD351"/>
    </sheetView>
  </sheetViews>
  <sheetFormatPr baseColWidth="10" defaultRowHeight="15" x14ac:dyDescent="0"/>
  <cols>
    <col min="1" max="1" width="28.6640625" customWidth="1"/>
    <col min="2" max="2" width="8.6640625" customWidth="1"/>
    <col min="3" max="3" width="9.6640625" customWidth="1"/>
    <col min="4" max="4" width="8" customWidth="1"/>
    <col min="5" max="5" width="10.33203125" customWidth="1"/>
    <col min="6" max="6" width="8.83203125" customWidth="1"/>
    <col min="7" max="7" width="10.33203125" customWidth="1"/>
    <col min="8" max="8" width="7.6640625" customWidth="1"/>
    <col min="9" max="9" width="7.5" customWidth="1"/>
    <col min="10" max="10" width="7.83203125" customWidth="1"/>
    <col min="11" max="11" width="7.6640625" customWidth="1"/>
    <col min="12" max="12" width="4.33203125" customWidth="1"/>
    <col min="13" max="13" width="4" customWidth="1"/>
    <col min="14" max="14" width="4.5" customWidth="1"/>
  </cols>
  <sheetData>
    <row r="2" spans="1:11" ht="28">
      <c r="A2" s="66" t="s">
        <v>202</v>
      </c>
      <c r="B2" s="3"/>
    </row>
    <row r="3" spans="1:11" ht="23">
      <c r="A3" s="47"/>
      <c r="B3" s="255">
        <v>42156</v>
      </c>
      <c r="C3" s="256"/>
      <c r="D3" s="246"/>
    </row>
    <row r="4" spans="1:11" ht="23">
      <c r="A4" s="47"/>
      <c r="B4" s="67"/>
      <c r="C4" s="68"/>
      <c r="D4" s="63"/>
    </row>
    <row r="5" spans="1:11" ht="23">
      <c r="A5" s="47"/>
      <c r="B5" s="67"/>
      <c r="C5" s="68"/>
      <c r="D5" s="63"/>
      <c r="E5" s="28"/>
    </row>
    <row r="6" spans="1:11" ht="16" customHeight="1">
      <c r="B6" s="10"/>
      <c r="C6" s="83"/>
      <c r="D6" s="26"/>
      <c r="E6" s="123"/>
    </row>
    <row r="7" spans="1:11" ht="5" customHeight="1">
      <c r="B7" s="10"/>
      <c r="C7" s="11"/>
      <c r="D7" s="10"/>
    </row>
    <row r="8" spans="1:11" ht="20">
      <c r="A8" s="238" t="s">
        <v>114</v>
      </c>
      <c r="B8" s="98"/>
      <c r="C8" s="98"/>
      <c r="F8" s="58" t="s">
        <v>215</v>
      </c>
      <c r="H8" s="39"/>
      <c r="I8" s="39"/>
    </row>
    <row r="9" spans="1:11" ht="20">
      <c r="A9" s="60"/>
      <c r="E9" s="181" t="s">
        <v>48</v>
      </c>
      <c r="F9" s="58"/>
      <c r="G9" s="39" t="s">
        <v>158</v>
      </c>
      <c r="H9" s="39"/>
      <c r="I9" s="39"/>
      <c r="K9" s="180" t="s">
        <v>159</v>
      </c>
    </row>
    <row r="10" spans="1:11" ht="20">
      <c r="A10" s="252" t="s">
        <v>32</v>
      </c>
      <c r="B10" s="245"/>
      <c r="D10" s="19"/>
      <c r="E10" s="15">
        <v>3200</v>
      </c>
      <c r="F10" s="58"/>
      <c r="G10" s="39" t="s">
        <v>160</v>
      </c>
      <c r="H10" s="98"/>
      <c r="I10" s="98"/>
      <c r="J10" s="98"/>
      <c r="K10" s="98"/>
    </row>
    <row r="11" spans="1:11" ht="20">
      <c r="A11" s="252" t="s">
        <v>49</v>
      </c>
      <c r="B11" s="245"/>
      <c r="D11" s="19"/>
      <c r="E11" s="18">
        <v>0.09</v>
      </c>
      <c r="F11" s="58" t="s">
        <v>199</v>
      </c>
      <c r="H11" s="98"/>
      <c r="I11" s="98"/>
      <c r="J11" s="98"/>
      <c r="K11" s="98"/>
    </row>
    <row r="12" spans="1:11" ht="20" customHeight="1">
      <c r="A12" s="258" t="s">
        <v>112</v>
      </c>
      <c r="B12" s="259"/>
      <c r="C12" s="259"/>
      <c r="D12" s="19"/>
      <c r="E12" s="18">
        <v>0.05</v>
      </c>
      <c r="F12" s="58" t="s">
        <v>200</v>
      </c>
      <c r="H12" s="98"/>
      <c r="I12" s="98"/>
      <c r="J12" s="98"/>
      <c r="K12" s="98"/>
    </row>
    <row r="13" spans="1:11" ht="20">
      <c r="A13" s="252" t="s">
        <v>50</v>
      </c>
      <c r="B13" s="245"/>
      <c r="D13" s="69"/>
      <c r="E13" s="69">
        <f>SUM(E11:E12)</f>
        <v>0.14000000000000001</v>
      </c>
      <c r="F13" s="58"/>
      <c r="H13" s="98"/>
      <c r="I13" s="98"/>
      <c r="J13" s="98"/>
      <c r="K13" s="98"/>
    </row>
    <row r="14" spans="1:11" ht="20">
      <c r="A14" s="110" t="s">
        <v>166</v>
      </c>
      <c r="B14" s="114"/>
      <c r="D14" s="69"/>
      <c r="E14" s="15">
        <f>(1-E13)*E10</f>
        <v>2752</v>
      </c>
      <c r="F14" s="124" t="s">
        <v>163</v>
      </c>
      <c r="H14" s="98"/>
      <c r="I14" s="98"/>
      <c r="J14" s="98"/>
      <c r="K14" s="98"/>
    </row>
    <row r="15" spans="1:11" ht="20">
      <c r="A15" s="110"/>
      <c r="B15" s="114"/>
      <c r="D15" s="69"/>
      <c r="E15" s="192"/>
      <c r="F15" s="124" t="s">
        <v>164</v>
      </c>
      <c r="H15" s="98"/>
      <c r="I15" s="98"/>
      <c r="J15" s="98"/>
      <c r="K15" s="98"/>
    </row>
    <row r="16" spans="1:11" ht="32" customHeight="1">
      <c r="A16" s="252" t="s">
        <v>113</v>
      </c>
      <c r="B16" s="245"/>
      <c r="C16" s="246"/>
      <c r="D16" s="69"/>
      <c r="E16" s="15">
        <v>100</v>
      </c>
      <c r="F16" s="199" t="s">
        <v>165</v>
      </c>
      <c r="G16" s="98"/>
      <c r="H16" s="98"/>
      <c r="I16" s="98"/>
      <c r="J16" s="98"/>
      <c r="K16" s="98"/>
    </row>
    <row r="17" spans="1:11" ht="20">
      <c r="A17" s="252" t="s">
        <v>195</v>
      </c>
      <c r="B17" s="245"/>
      <c r="C17" s="246"/>
      <c r="D17" s="69"/>
      <c r="E17" s="15">
        <v>75</v>
      </c>
      <c r="F17" s="98"/>
      <c r="G17" s="98"/>
      <c r="H17" s="98"/>
      <c r="I17" s="98"/>
      <c r="J17" s="98"/>
      <c r="K17" s="98"/>
    </row>
    <row r="18" spans="1:11" ht="15" customHeight="1" thickBot="1">
      <c r="A18" s="1"/>
      <c r="B18" s="1"/>
      <c r="D18" s="19"/>
      <c r="E18" s="69"/>
    </row>
    <row r="19" spans="1:11" ht="25" thickTop="1" thickBot="1">
      <c r="A19" s="40" t="s">
        <v>111</v>
      </c>
      <c r="B19" s="40"/>
      <c r="C19" s="41"/>
      <c r="D19" s="57"/>
      <c r="E19" s="121">
        <f>SUM(E14:E17)</f>
        <v>2927</v>
      </c>
      <c r="I19" s="39"/>
    </row>
    <row r="20" spans="1:11" ht="24" thickTop="1">
      <c r="A20" s="48"/>
      <c r="B20" s="48"/>
      <c r="C20" s="35"/>
      <c r="D20" s="115"/>
      <c r="E20" s="115"/>
      <c r="I20" s="39"/>
    </row>
    <row r="21" spans="1:11" ht="23">
      <c r="A21" s="48"/>
      <c r="B21" s="48"/>
      <c r="C21" s="35"/>
      <c r="D21" s="115"/>
      <c r="E21" s="115"/>
      <c r="I21" s="39"/>
    </row>
    <row r="22" spans="1:11" ht="23">
      <c r="A22" s="48"/>
      <c r="B22" s="48"/>
      <c r="C22" s="35"/>
      <c r="D22" s="115"/>
      <c r="E22" s="115"/>
      <c r="I22" s="39"/>
    </row>
    <row r="23" spans="1:11" ht="23">
      <c r="A23" s="48"/>
      <c r="B23" s="48"/>
      <c r="C23" s="35"/>
      <c r="D23" s="115"/>
      <c r="E23" s="115"/>
      <c r="I23" s="39"/>
    </row>
    <row r="24" spans="1:11" ht="23">
      <c r="A24" s="48"/>
      <c r="B24" s="48"/>
      <c r="C24" s="35"/>
      <c r="D24" s="115"/>
      <c r="E24" s="115"/>
      <c r="I24" s="39"/>
    </row>
    <row r="25" spans="1:11" ht="23">
      <c r="A25" s="48"/>
      <c r="B25" s="48"/>
      <c r="C25" s="35"/>
      <c r="D25" s="115"/>
      <c r="E25" s="115"/>
      <c r="I25" s="39"/>
    </row>
    <row r="26" spans="1:11" ht="23">
      <c r="A26" s="48"/>
      <c r="B26" s="48"/>
      <c r="C26" s="35"/>
      <c r="D26" s="115"/>
      <c r="E26" s="115"/>
      <c r="I26" s="39"/>
    </row>
    <row r="27" spans="1:11" ht="23">
      <c r="A27" s="48"/>
      <c r="B27" s="48"/>
      <c r="C27" s="35"/>
      <c r="D27" s="115"/>
      <c r="E27" s="115"/>
      <c r="I27" s="39"/>
    </row>
    <row r="28" spans="1:11" ht="23">
      <c r="A28" s="48"/>
      <c r="B28" s="48"/>
      <c r="C28" s="35"/>
      <c r="D28" s="115"/>
      <c r="E28" s="115"/>
      <c r="I28" s="39"/>
    </row>
    <row r="29" spans="1:11" ht="23">
      <c r="A29" s="48"/>
      <c r="B29" s="48"/>
      <c r="C29" s="35"/>
      <c r="D29" s="115"/>
      <c r="E29" s="115"/>
      <c r="I29" s="39"/>
    </row>
    <row r="30" spans="1:11" ht="23">
      <c r="A30" s="48"/>
      <c r="B30" s="48"/>
      <c r="C30" s="35"/>
      <c r="D30" s="115"/>
      <c r="E30" s="115"/>
      <c r="I30" s="39"/>
    </row>
    <row r="31" spans="1:11" ht="23">
      <c r="A31" s="48"/>
      <c r="B31" s="48"/>
      <c r="C31" s="35"/>
      <c r="D31" s="115"/>
      <c r="E31" s="115"/>
      <c r="I31" s="39"/>
    </row>
    <row r="32" spans="1:11" ht="23">
      <c r="A32" s="48"/>
      <c r="B32" s="48"/>
      <c r="C32" s="35"/>
      <c r="D32" s="115"/>
      <c r="E32" s="115"/>
      <c r="I32" s="39"/>
    </row>
    <row r="33" spans="1:12" ht="23">
      <c r="A33" s="48"/>
      <c r="B33" s="48"/>
      <c r="C33" s="35"/>
      <c r="D33" s="115"/>
      <c r="E33" s="115"/>
      <c r="I33" s="39"/>
    </row>
    <row r="34" spans="1:12" ht="23">
      <c r="A34" s="48"/>
      <c r="B34" s="48"/>
      <c r="C34" s="35"/>
      <c r="D34" s="115"/>
      <c r="I34" s="39"/>
    </row>
    <row r="35" spans="1:12" ht="13" customHeight="1">
      <c r="A35" s="12"/>
      <c r="B35" s="12"/>
      <c r="C35" s="13"/>
      <c r="D35" s="19"/>
      <c r="E35" s="13"/>
      <c r="F35" s="116"/>
      <c r="G35" s="116"/>
    </row>
    <row r="36" spans="1:12" ht="48" customHeight="1">
      <c r="A36" s="247" t="s">
        <v>185</v>
      </c>
      <c r="B36" s="245"/>
      <c r="C36" s="245"/>
      <c r="D36" s="245"/>
      <c r="E36" s="245"/>
      <c r="F36" s="120" t="s">
        <v>197</v>
      </c>
      <c r="G36" s="120" t="s">
        <v>167</v>
      </c>
    </row>
    <row r="37" spans="1:12" ht="20" customHeight="1">
      <c r="A37" s="70"/>
      <c r="B37" s="62"/>
      <c r="C37" s="62"/>
      <c r="D37" s="62"/>
      <c r="E37" s="181" t="s">
        <v>48</v>
      </c>
      <c r="F37" s="116"/>
      <c r="G37" s="119">
        <v>25</v>
      </c>
    </row>
    <row r="38" spans="1:12" ht="19" customHeight="1">
      <c r="A38" s="61" t="s">
        <v>0</v>
      </c>
      <c r="B38" s="1"/>
      <c r="D38" s="19"/>
      <c r="E38" s="99">
        <f>G38*F38</f>
        <v>300</v>
      </c>
      <c r="F38" s="117">
        <v>12</v>
      </c>
      <c r="G38" s="120">
        <f t="shared" ref="G38:G43" si="0">$G$37</f>
        <v>25</v>
      </c>
      <c r="H38" s="62"/>
      <c r="I38" s="244" t="s">
        <v>189</v>
      </c>
      <c r="J38" s="257"/>
      <c r="K38" s="257"/>
      <c r="L38" s="257"/>
    </row>
    <row r="39" spans="1:12" ht="20" customHeight="1">
      <c r="A39" s="61" t="s">
        <v>201</v>
      </c>
      <c r="B39" s="1"/>
      <c r="D39" s="19"/>
      <c r="E39" s="99">
        <f t="shared" ref="E39:E41" si="1">G39*F39</f>
        <v>75</v>
      </c>
      <c r="F39" s="118">
        <v>3</v>
      </c>
      <c r="G39" s="120">
        <f t="shared" si="0"/>
        <v>25</v>
      </c>
      <c r="I39" s="257"/>
      <c r="J39" s="257"/>
      <c r="K39" s="257"/>
      <c r="L39" s="257"/>
    </row>
    <row r="40" spans="1:12" ht="20" customHeight="1">
      <c r="A40" s="61" t="s">
        <v>69</v>
      </c>
      <c r="B40" s="1"/>
      <c r="D40" s="19"/>
      <c r="E40" s="99">
        <f t="shared" si="1"/>
        <v>75</v>
      </c>
      <c r="F40" s="118">
        <v>3</v>
      </c>
      <c r="G40" s="120">
        <f t="shared" si="0"/>
        <v>25</v>
      </c>
      <c r="I40" s="257"/>
      <c r="J40" s="257"/>
      <c r="K40" s="257"/>
      <c r="L40" s="257"/>
    </row>
    <row r="41" spans="1:12" ht="20" customHeight="1">
      <c r="A41" s="252" t="s">
        <v>196</v>
      </c>
      <c r="B41" s="245"/>
      <c r="D41" s="19"/>
      <c r="E41" s="99">
        <f t="shared" si="1"/>
        <v>175</v>
      </c>
      <c r="F41" s="118">
        <v>7</v>
      </c>
      <c r="G41" s="120">
        <f t="shared" si="0"/>
        <v>25</v>
      </c>
      <c r="I41" s="257"/>
      <c r="J41" s="257"/>
      <c r="K41" s="257"/>
      <c r="L41" s="257"/>
    </row>
    <row r="42" spans="1:12" ht="20" customHeight="1">
      <c r="A42" s="252" t="s">
        <v>70</v>
      </c>
      <c r="B42" s="245"/>
      <c r="D42" s="19"/>
      <c r="E42" s="99">
        <v>50</v>
      </c>
      <c r="F42" s="118">
        <v>4</v>
      </c>
      <c r="G42" s="120">
        <f t="shared" si="0"/>
        <v>25</v>
      </c>
      <c r="I42" s="257"/>
      <c r="J42" s="257"/>
      <c r="K42" s="257"/>
      <c r="L42" s="257"/>
    </row>
    <row r="43" spans="1:12" ht="20" customHeight="1">
      <c r="A43" s="64" t="s">
        <v>115</v>
      </c>
      <c r="B43" s="1"/>
      <c r="D43" s="19"/>
      <c r="E43" s="99">
        <f t="shared" ref="E43" si="2">G43*F43</f>
        <v>50</v>
      </c>
      <c r="F43" s="118">
        <v>2</v>
      </c>
      <c r="G43" s="120">
        <f t="shared" si="0"/>
        <v>25</v>
      </c>
      <c r="I43" s="257"/>
      <c r="J43" s="257"/>
      <c r="K43" s="257"/>
      <c r="L43" s="257"/>
    </row>
    <row r="44" spans="1:12" ht="16" customHeight="1">
      <c r="A44" s="64"/>
      <c r="B44" s="1"/>
      <c r="D44" s="19"/>
      <c r="E44" s="99"/>
      <c r="G44" s="120"/>
      <c r="I44" s="257"/>
      <c r="J44" s="257"/>
      <c r="K44" s="257"/>
      <c r="L44" s="257"/>
    </row>
    <row r="45" spans="1:12" ht="20">
      <c r="A45" s="252" t="s">
        <v>216</v>
      </c>
      <c r="B45" s="245"/>
      <c r="C45" s="245"/>
      <c r="D45" s="19"/>
      <c r="E45" s="100">
        <v>35</v>
      </c>
      <c r="F45" s="2"/>
      <c r="G45" s="62"/>
    </row>
    <row r="46" spans="1:12" ht="20">
      <c r="A46" s="64" t="s">
        <v>198</v>
      </c>
      <c r="B46" s="1"/>
      <c r="D46" s="19"/>
      <c r="E46" s="100">
        <v>30</v>
      </c>
      <c r="F46" s="2"/>
      <c r="G46" s="65"/>
    </row>
    <row r="47" spans="1:12" ht="20">
      <c r="A47" s="252" t="s">
        <v>121</v>
      </c>
      <c r="B47" s="246"/>
      <c r="C47" s="246"/>
      <c r="D47" s="19"/>
      <c r="E47" s="100">
        <v>25</v>
      </c>
      <c r="F47" s="2"/>
      <c r="G47" s="65"/>
      <c r="I47" t="s">
        <v>207</v>
      </c>
    </row>
    <row r="48" spans="1:12" ht="20">
      <c r="A48" s="61" t="s">
        <v>1</v>
      </c>
      <c r="B48" s="1"/>
      <c r="D48" s="19"/>
      <c r="E48" s="100"/>
      <c r="F48" s="2"/>
      <c r="I48" t="s">
        <v>208</v>
      </c>
    </row>
    <row r="49" spans="1:7" ht="17" customHeight="1" thickBot="1">
      <c r="A49" s="1"/>
      <c r="B49" s="1"/>
      <c r="C49" s="82"/>
      <c r="D49" s="30"/>
      <c r="E49" s="101"/>
      <c r="F49" s="2"/>
    </row>
    <row r="50" spans="1:7" ht="25" thickTop="1" thickBot="1">
      <c r="A50" s="40" t="s">
        <v>122</v>
      </c>
      <c r="B50" s="40"/>
      <c r="C50" s="41"/>
      <c r="D50" s="57"/>
      <c r="E50" s="121">
        <f>SUM(E38:E48)</f>
        <v>815</v>
      </c>
      <c r="F50" s="48"/>
      <c r="G50" s="48"/>
    </row>
    <row r="51" spans="1:7" ht="24" thickTop="1">
      <c r="A51" s="48"/>
      <c r="B51" s="48"/>
      <c r="C51" s="35"/>
      <c r="D51" s="115"/>
      <c r="E51" s="115"/>
      <c r="F51" s="48"/>
      <c r="G51" s="48"/>
    </row>
    <row r="52" spans="1:7" ht="23">
      <c r="A52" s="48"/>
      <c r="B52" s="48"/>
      <c r="C52" s="35"/>
      <c r="D52" s="115"/>
      <c r="E52" s="115"/>
      <c r="F52" s="48"/>
      <c r="G52" s="48"/>
    </row>
    <row r="53" spans="1:7" ht="23">
      <c r="A53" s="48"/>
      <c r="B53" s="48"/>
      <c r="C53" s="35"/>
      <c r="D53" s="115"/>
      <c r="E53" s="115"/>
      <c r="F53" s="48"/>
      <c r="G53" s="48"/>
    </row>
    <row r="54" spans="1:7" ht="23">
      <c r="A54" s="48"/>
      <c r="B54" s="48"/>
      <c r="C54" s="35"/>
      <c r="D54" s="115"/>
      <c r="E54" s="115"/>
      <c r="F54" s="48"/>
      <c r="G54" s="48"/>
    </row>
    <row r="55" spans="1:7" ht="23">
      <c r="A55" s="48"/>
      <c r="B55" s="48"/>
      <c r="C55" s="35"/>
      <c r="D55" s="115"/>
      <c r="E55" s="115"/>
      <c r="F55" s="48"/>
      <c r="G55" s="48"/>
    </row>
    <row r="56" spans="1:7" ht="23">
      <c r="A56" s="48"/>
      <c r="B56" s="48"/>
      <c r="C56" s="35"/>
      <c r="D56" s="115"/>
      <c r="E56" s="115"/>
      <c r="F56" s="48"/>
      <c r="G56" s="48"/>
    </row>
    <row r="57" spans="1:7" ht="23">
      <c r="A57" s="48"/>
      <c r="B57" s="48"/>
      <c r="C57" s="35"/>
      <c r="D57" s="115"/>
      <c r="E57" s="115"/>
      <c r="F57" s="48"/>
      <c r="G57" s="48"/>
    </row>
    <row r="58" spans="1:7" ht="23">
      <c r="A58" s="48"/>
      <c r="B58" s="48"/>
      <c r="C58" s="35"/>
      <c r="D58" s="115"/>
      <c r="E58" s="115"/>
      <c r="F58" s="48"/>
      <c r="G58" s="48"/>
    </row>
    <row r="59" spans="1:7" ht="23">
      <c r="A59" s="48"/>
      <c r="B59" s="48"/>
      <c r="C59" s="35"/>
      <c r="D59" s="115"/>
      <c r="E59" s="115"/>
      <c r="F59" s="48"/>
      <c r="G59" s="48"/>
    </row>
    <row r="60" spans="1:7" ht="23">
      <c r="A60" s="48"/>
      <c r="B60" s="48"/>
      <c r="C60" s="35"/>
      <c r="D60" s="115"/>
      <c r="E60" s="115"/>
      <c r="F60" s="48"/>
      <c r="G60" s="48"/>
    </row>
    <row r="61" spans="1:7" ht="9" customHeight="1">
      <c r="A61" s="48"/>
      <c r="B61" s="48"/>
      <c r="C61" s="35"/>
      <c r="D61" s="115"/>
      <c r="E61" s="115"/>
      <c r="F61" s="48"/>
      <c r="G61" s="48"/>
    </row>
    <row r="62" spans="1:7" ht="20" customHeight="1">
      <c r="A62" s="239" t="s">
        <v>209</v>
      </c>
    </row>
    <row r="63" spans="1:7" ht="10" customHeight="1">
      <c r="A63" s="12"/>
      <c r="B63" s="12"/>
      <c r="C63" s="83"/>
      <c r="D63" s="26"/>
    </row>
    <row r="64" spans="1:7">
      <c r="E64" s="181" t="s">
        <v>48</v>
      </c>
    </row>
    <row r="65" spans="1:14" ht="21" customHeight="1">
      <c r="A65" s="252" t="s">
        <v>103</v>
      </c>
      <c r="B65" s="246"/>
      <c r="C65" s="246"/>
      <c r="D65" s="19"/>
      <c r="E65" s="15">
        <v>600</v>
      </c>
      <c r="G65" s="71" t="s">
        <v>71</v>
      </c>
      <c r="H65" s="58"/>
      <c r="I65" s="58"/>
      <c r="J65" s="58"/>
      <c r="K65" s="72"/>
    </row>
    <row r="66" spans="1:14" ht="58" customHeight="1">
      <c r="A66" s="252" t="s">
        <v>116</v>
      </c>
      <c r="B66" s="245"/>
      <c r="C66" s="246"/>
      <c r="D66" s="19"/>
      <c r="E66" s="15">
        <f>E38*1.2+E39*1.1+E40*0.33+E41*0.33+E42*0.33+E43+E45+E48</f>
        <v>626.5</v>
      </c>
      <c r="G66" s="260" t="s">
        <v>168</v>
      </c>
      <c r="H66" s="261"/>
      <c r="I66" s="261"/>
      <c r="J66" s="261"/>
      <c r="K66" s="261"/>
      <c r="L66" s="261"/>
      <c r="M66" s="63"/>
      <c r="N66" s="63"/>
    </row>
    <row r="67" spans="1:14" ht="62" customHeight="1">
      <c r="A67" s="252" t="s">
        <v>104</v>
      </c>
      <c r="B67" s="246"/>
      <c r="C67" s="246"/>
      <c r="D67" s="19"/>
      <c r="E67" s="16">
        <v>12</v>
      </c>
      <c r="G67" s="244" t="s">
        <v>190</v>
      </c>
      <c r="H67" s="245"/>
      <c r="I67" s="245"/>
      <c r="J67" s="245"/>
      <c r="K67" s="245"/>
      <c r="L67" s="245"/>
      <c r="M67" s="111"/>
      <c r="N67" s="59"/>
    </row>
    <row r="68" spans="1:14" ht="26" customHeight="1" thickBot="1">
      <c r="A68" s="252" t="s">
        <v>105</v>
      </c>
      <c r="B68" s="246"/>
      <c r="C68" s="246"/>
      <c r="D68" s="19"/>
      <c r="E68" s="16">
        <v>2</v>
      </c>
      <c r="F68" s="113"/>
      <c r="G68" s="246"/>
      <c r="H68" s="246"/>
      <c r="I68" s="246"/>
      <c r="J68" s="246"/>
      <c r="K68" s="246"/>
      <c r="L68" s="246"/>
      <c r="M68" s="111"/>
    </row>
    <row r="69" spans="1:14" ht="22" customHeight="1" thickTop="1" thickBot="1">
      <c r="A69" s="248" t="s">
        <v>106</v>
      </c>
      <c r="B69" s="251"/>
      <c r="C69" s="251"/>
      <c r="D69" s="42"/>
      <c r="E69" s="122">
        <f>ROUND(SUM(E65:E66)/E67*E68,-1)</f>
        <v>200</v>
      </c>
      <c r="F69" s="111"/>
      <c r="G69" s="111"/>
      <c r="H69" s="111"/>
      <c r="I69" s="111"/>
      <c r="J69" s="111"/>
      <c r="K69" s="111"/>
      <c r="L69" s="111"/>
      <c r="M69" s="111"/>
    </row>
    <row r="70" spans="1:14" ht="7" customHeight="1" thickTop="1">
      <c r="A70" s="61"/>
      <c r="B70" s="1"/>
      <c r="C70" s="84"/>
      <c r="D70" s="19"/>
      <c r="E70" s="14"/>
      <c r="F70" s="19"/>
      <c r="G70" s="19"/>
    </row>
    <row r="71" spans="1:14" ht="42" customHeight="1">
      <c r="A71" s="252" t="s">
        <v>117</v>
      </c>
      <c r="B71" s="246"/>
      <c r="C71" s="246"/>
      <c r="D71" s="19"/>
      <c r="E71" s="15">
        <v>1100</v>
      </c>
      <c r="G71" s="244" t="s">
        <v>125</v>
      </c>
      <c r="H71" s="245"/>
      <c r="I71" s="245"/>
      <c r="J71" s="245"/>
      <c r="K71" s="245"/>
      <c r="L71" s="245"/>
      <c r="M71" s="58"/>
    </row>
    <row r="72" spans="1:14" ht="34" customHeight="1">
      <c r="A72" s="252" t="s">
        <v>118</v>
      </c>
      <c r="B72" s="245"/>
      <c r="C72" s="246"/>
      <c r="D72" s="19"/>
      <c r="E72" s="15">
        <f>E66</f>
        <v>626.5</v>
      </c>
      <c r="G72" s="244" t="s">
        <v>124</v>
      </c>
      <c r="H72" s="246"/>
      <c r="I72" s="246"/>
      <c r="J72" s="246"/>
      <c r="K72" s="246"/>
      <c r="L72" s="246"/>
      <c r="M72" s="58"/>
    </row>
    <row r="73" spans="1:14" ht="31" customHeight="1">
      <c r="A73" s="252" t="s">
        <v>119</v>
      </c>
      <c r="B73" s="245"/>
      <c r="C73" s="246"/>
      <c r="D73" s="19"/>
      <c r="E73" s="16">
        <v>25</v>
      </c>
      <c r="G73" s="244" t="s">
        <v>126</v>
      </c>
      <c r="H73" s="245"/>
      <c r="I73" s="245"/>
      <c r="J73" s="245"/>
      <c r="K73" s="245"/>
      <c r="L73" s="245"/>
      <c r="M73" s="58"/>
    </row>
    <row r="74" spans="1:14" ht="8" customHeight="1" thickBot="1">
      <c r="A74" s="61"/>
      <c r="B74" s="1"/>
      <c r="D74" s="42"/>
      <c r="F74" s="112"/>
      <c r="G74" s="112"/>
      <c r="H74" s="112"/>
      <c r="I74" s="112"/>
      <c r="J74" s="112"/>
      <c r="K74" s="112"/>
      <c r="L74" s="112"/>
      <c r="M74" s="58"/>
    </row>
    <row r="75" spans="1:14" ht="32" customHeight="1" thickTop="1" thickBot="1">
      <c r="A75" s="248" t="s">
        <v>120</v>
      </c>
      <c r="B75" s="249"/>
      <c r="C75" s="246"/>
      <c r="E75" s="122">
        <f t="shared" ref="E75" si="3">(E71+E72)/E73</f>
        <v>69.06</v>
      </c>
      <c r="F75" s="112"/>
      <c r="G75" s="112"/>
      <c r="H75" s="112"/>
      <c r="I75" s="112"/>
      <c r="J75" s="112"/>
      <c r="K75" s="112"/>
      <c r="L75" s="112"/>
      <c r="M75" s="58"/>
    </row>
    <row r="76" spans="1:14" ht="2" customHeight="1" thickTop="1">
      <c r="A76" s="35"/>
      <c r="B76" s="35"/>
      <c r="E76" s="35"/>
      <c r="F76" s="125"/>
      <c r="G76" s="125"/>
      <c r="H76" s="125"/>
      <c r="I76" s="58"/>
      <c r="J76" s="58"/>
      <c r="K76" s="58"/>
      <c r="L76" s="58"/>
      <c r="M76" s="58"/>
    </row>
    <row r="77" spans="1:14" ht="31" customHeight="1">
      <c r="A77" s="248" t="s">
        <v>170</v>
      </c>
      <c r="B77" s="249"/>
      <c r="C77" s="246"/>
      <c r="E77" s="46">
        <v>1000</v>
      </c>
      <c r="G77" s="244" t="s">
        <v>169</v>
      </c>
      <c r="H77" s="245"/>
      <c r="I77" s="245"/>
      <c r="J77" s="245"/>
      <c r="K77" s="245"/>
      <c r="L77" s="245"/>
      <c r="M77" s="112"/>
    </row>
    <row r="78" spans="1:14" ht="25" customHeight="1" thickBot="1">
      <c r="A78" s="248" t="s">
        <v>217</v>
      </c>
      <c r="B78" s="246"/>
      <c r="C78" s="246"/>
      <c r="E78" s="43">
        <v>25</v>
      </c>
      <c r="F78" s="19"/>
      <c r="G78" s="19"/>
    </row>
    <row r="79" spans="1:14" ht="18" customHeight="1" thickTop="1" thickBot="1">
      <c r="A79" s="248" t="s">
        <v>218</v>
      </c>
      <c r="B79" s="251"/>
      <c r="C79" s="251"/>
      <c r="E79" s="122">
        <f>E77/E78</f>
        <v>40</v>
      </c>
      <c r="F79" s="19"/>
      <c r="G79" s="19"/>
    </row>
    <row r="80" spans="1:14" ht="18" customHeight="1" thickTop="1" thickBot="1">
      <c r="A80" s="104"/>
      <c r="B80" s="63"/>
      <c r="C80" s="63"/>
      <c r="D80" s="42"/>
      <c r="E80" s="45"/>
      <c r="F80" s="19"/>
      <c r="G80" s="19"/>
    </row>
    <row r="81" spans="1:7" ht="23" customHeight="1" thickTop="1" thickBot="1">
      <c r="A81" s="40" t="s">
        <v>123</v>
      </c>
      <c r="B81" s="40"/>
      <c r="C81" s="41"/>
      <c r="D81" s="57"/>
      <c r="E81" s="121">
        <f>E69+E75+E79</f>
        <v>309.06</v>
      </c>
      <c r="F81" s="19"/>
      <c r="G81" s="19"/>
    </row>
    <row r="82" spans="1:7" ht="18" customHeight="1" thickTop="1">
      <c r="A82" s="48"/>
      <c r="B82" s="48"/>
      <c r="C82" s="35"/>
      <c r="D82" s="115"/>
      <c r="E82" s="115"/>
      <c r="F82" s="19"/>
      <c r="G82" s="19"/>
    </row>
    <row r="83" spans="1:7" ht="18" customHeight="1">
      <c r="A83" s="48"/>
      <c r="B83" s="48"/>
      <c r="C83" s="35"/>
      <c r="D83" s="115"/>
      <c r="E83" s="115"/>
      <c r="F83" s="19"/>
      <c r="G83" s="19"/>
    </row>
    <row r="84" spans="1:7" ht="18" customHeight="1">
      <c r="A84" s="48"/>
      <c r="B84" s="48"/>
      <c r="C84" s="35"/>
      <c r="D84" s="115"/>
      <c r="E84" s="115"/>
      <c r="F84" s="19"/>
      <c r="G84" s="19"/>
    </row>
    <row r="85" spans="1:7" ht="18" customHeight="1">
      <c r="A85" s="48"/>
      <c r="B85" s="48"/>
      <c r="C85" s="35"/>
      <c r="D85" s="115"/>
      <c r="E85" s="115"/>
      <c r="F85" s="19"/>
      <c r="G85" s="19"/>
    </row>
    <row r="86" spans="1:7" ht="18" customHeight="1">
      <c r="A86" s="48"/>
      <c r="B86" s="48"/>
      <c r="C86" s="35"/>
      <c r="D86" s="115"/>
      <c r="E86" s="115"/>
      <c r="F86" s="19"/>
      <c r="G86" s="19"/>
    </row>
    <row r="87" spans="1:7" ht="18" customHeight="1">
      <c r="A87" s="48"/>
      <c r="B87" s="48"/>
      <c r="C87" s="35"/>
      <c r="D87" s="115"/>
      <c r="E87" s="115"/>
      <c r="F87" s="19"/>
      <c r="G87" s="19"/>
    </row>
    <row r="88" spans="1:7" ht="18" customHeight="1">
      <c r="A88" s="48"/>
      <c r="B88" s="48"/>
      <c r="C88" s="35"/>
      <c r="D88" s="115"/>
      <c r="E88" s="115"/>
      <c r="F88" s="19"/>
      <c r="G88" s="19"/>
    </row>
    <row r="89" spans="1:7" ht="18" customHeight="1">
      <c r="A89" s="48"/>
      <c r="B89" s="48"/>
      <c r="C89" s="35"/>
      <c r="D89" s="115"/>
      <c r="E89" s="115"/>
      <c r="F89" s="19"/>
      <c r="G89" s="19"/>
    </row>
    <row r="90" spans="1:7" ht="18" customHeight="1">
      <c r="A90" s="48"/>
      <c r="B90" s="48"/>
      <c r="C90" s="35"/>
      <c r="D90" s="115"/>
      <c r="E90" s="115"/>
      <c r="F90" s="19"/>
      <c r="G90" s="19"/>
    </row>
    <row r="91" spans="1:7" ht="18" customHeight="1">
      <c r="A91" s="48"/>
      <c r="B91" s="48"/>
      <c r="C91" s="35"/>
      <c r="D91" s="115"/>
      <c r="E91" s="115"/>
      <c r="F91" s="19"/>
      <c r="G91" s="19"/>
    </row>
    <row r="92" spans="1:7" ht="18" customHeight="1">
      <c r="A92" s="48"/>
      <c r="B92" s="48"/>
      <c r="C92" s="35"/>
      <c r="D92" s="115"/>
      <c r="E92" s="115"/>
      <c r="F92" s="19"/>
      <c r="G92" s="19"/>
    </row>
    <row r="93" spans="1:7" ht="18" customHeight="1">
      <c r="A93" s="48"/>
      <c r="B93" s="48"/>
      <c r="C93" s="35"/>
      <c r="D93" s="115"/>
      <c r="E93" s="115"/>
      <c r="F93" s="19"/>
      <c r="G93" s="19"/>
    </row>
    <row r="94" spans="1:7" ht="18" customHeight="1">
      <c r="A94" s="48"/>
      <c r="B94" s="48"/>
      <c r="C94" s="35"/>
      <c r="D94" s="115"/>
      <c r="E94" s="115"/>
      <c r="F94" s="19"/>
      <c r="G94" s="19"/>
    </row>
    <row r="95" spans="1:7" ht="18" customHeight="1">
      <c r="A95" s="48"/>
      <c r="B95" s="48"/>
      <c r="C95" s="35"/>
      <c r="D95" s="115"/>
      <c r="E95" s="115"/>
      <c r="F95" s="19"/>
      <c r="G95" s="19"/>
    </row>
    <row r="96" spans="1:7" ht="18" customHeight="1">
      <c r="A96" s="48"/>
      <c r="B96" s="48"/>
      <c r="C96" s="35"/>
      <c r="D96" s="115"/>
      <c r="E96" s="115"/>
      <c r="F96" s="19"/>
      <c r="G96" s="19"/>
    </row>
    <row r="97" spans="1:11" ht="18" customHeight="1">
      <c r="A97" s="48"/>
      <c r="B97" s="48"/>
      <c r="C97" s="35"/>
      <c r="D97" s="115"/>
      <c r="E97" s="115"/>
      <c r="F97" s="19"/>
      <c r="G97" s="19"/>
    </row>
    <row r="98" spans="1:11" ht="18" customHeight="1">
      <c r="A98" s="48"/>
      <c r="B98" s="48"/>
      <c r="C98" s="35"/>
      <c r="D98" s="115"/>
      <c r="E98" s="115"/>
      <c r="F98" s="19"/>
      <c r="G98" s="19"/>
    </row>
    <row r="99" spans="1:11" ht="18" customHeight="1">
      <c r="A99" s="48"/>
      <c r="B99" s="48"/>
      <c r="C99" s="35"/>
      <c r="D99" s="115"/>
      <c r="E99" s="115"/>
      <c r="F99" s="19"/>
      <c r="G99" s="19"/>
    </row>
    <row r="100" spans="1:11" ht="18" customHeight="1">
      <c r="A100" s="48"/>
      <c r="B100" s="48"/>
      <c r="C100" s="35"/>
      <c r="D100" s="115"/>
      <c r="E100" s="115"/>
      <c r="F100" s="19"/>
      <c r="G100" s="19"/>
    </row>
    <row r="101" spans="1:11" ht="18" customHeight="1">
      <c r="A101" s="48"/>
      <c r="B101" s="48"/>
      <c r="C101" s="35"/>
      <c r="D101" s="115"/>
      <c r="E101" s="115"/>
      <c r="F101" s="19"/>
      <c r="G101" s="19"/>
    </row>
    <row r="102" spans="1:11" ht="18" customHeight="1">
      <c r="A102" s="247" t="s">
        <v>193</v>
      </c>
      <c r="B102" s="245"/>
      <c r="C102" s="245"/>
      <c r="D102" s="245"/>
      <c r="E102" s="245"/>
      <c r="F102" s="246"/>
      <c r="G102" s="246"/>
      <c r="H102" s="246"/>
      <c r="I102" s="246"/>
      <c r="J102" s="246"/>
      <c r="K102" s="193"/>
    </row>
    <row r="104" spans="1:11" ht="18" customHeight="1" thickBot="1">
      <c r="A104" s="48"/>
      <c r="B104" s="48"/>
      <c r="C104" s="35"/>
      <c r="D104" s="115"/>
      <c r="E104" s="115"/>
      <c r="F104" s="19"/>
      <c r="G104" s="19"/>
    </row>
    <row r="105" spans="1:11" ht="18" customHeight="1">
      <c r="A105" s="270" t="s">
        <v>192</v>
      </c>
      <c r="B105" s="271"/>
      <c r="C105" s="271"/>
      <c r="D105" s="134"/>
      <c r="E105" s="181" t="s">
        <v>48</v>
      </c>
      <c r="F105" s="71" t="s">
        <v>191</v>
      </c>
      <c r="G105" s="19"/>
    </row>
    <row r="106" spans="1:11" ht="18" customHeight="1">
      <c r="A106" s="135" t="s">
        <v>63</v>
      </c>
      <c r="B106" s="126"/>
      <c r="C106" s="126"/>
      <c r="D106" s="127"/>
      <c r="E106" s="209">
        <v>90000</v>
      </c>
      <c r="F106" s="58"/>
      <c r="G106" s="19"/>
    </row>
    <row r="107" spans="1:11" ht="18" customHeight="1">
      <c r="A107" s="135" t="s">
        <v>20</v>
      </c>
      <c r="B107" s="126"/>
      <c r="C107" s="126"/>
      <c r="D107" s="127"/>
      <c r="E107" s="210">
        <v>4.2500000000000003E-2</v>
      </c>
      <c r="F107" s="71" t="s">
        <v>171</v>
      </c>
      <c r="G107" s="19"/>
    </row>
    <row r="108" spans="1:11" ht="18" customHeight="1">
      <c r="A108" s="135" t="s">
        <v>137</v>
      </c>
      <c r="B108" s="126"/>
      <c r="C108" s="126"/>
      <c r="D108" s="127"/>
      <c r="E108" s="211">
        <v>25</v>
      </c>
      <c r="F108" s="71" t="s">
        <v>172</v>
      </c>
      <c r="G108" s="19"/>
    </row>
    <row r="109" spans="1:11" ht="18" customHeight="1">
      <c r="A109" s="135" t="s">
        <v>21</v>
      </c>
      <c r="B109" s="126"/>
      <c r="C109" s="126"/>
      <c r="D109" s="126"/>
      <c r="E109" s="212">
        <f>-PMT(E107/12,12*E108,E106)*12</f>
        <v>5850.7714905900102</v>
      </c>
      <c r="F109" s="58" t="s">
        <v>173</v>
      </c>
      <c r="G109" s="19"/>
    </row>
    <row r="110" spans="1:11" ht="18" customHeight="1">
      <c r="A110" s="135" t="s">
        <v>138</v>
      </c>
      <c r="B110" s="128"/>
      <c r="C110" s="128"/>
      <c r="D110" s="126"/>
      <c r="E110" s="209">
        <v>400</v>
      </c>
      <c r="F110" s="71" t="s">
        <v>174</v>
      </c>
      <c r="G110" s="19"/>
    </row>
    <row r="111" spans="1:11" ht="18" customHeight="1">
      <c r="A111" s="135" t="s">
        <v>139</v>
      </c>
      <c r="B111" s="127"/>
      <c r="C111" s="129"/>
      <c r="D111" s="126"/>
      <c r="E111" s="213">
        <f>SUM(E109:E110)</f>
        <v>6250.7714905900102</v>
      </c>
      <c r="F111" s="71" t="s">
        <v>175</v>
      </c>
      <c r="G111" s="19"/>
    </row>
    <row r="112" spans="1:11" ht="18" customHeight="1">
      <c r="A112" s="250" t="s">
        <v>134</v>
      </c>
      <c r="B112" s="251"/>
      <c r="C112" s="129"/>
      <c r="D112" s="126"/>
      <c r="E112" s="136">
        <v>2</v>
      </c>
      <c r="F112" s="71"/>
      <c r="G112" s="19"/>
    </row>
    <row r="113" spans="1:7" ht="18" customHeight="1">
      <c r="A113" s="137" t="s">
        <v>136</v>
      </c>
      <c r="B113" s="129"/>
      <c r="C113" s="129"/>
      <c r="D113" s="126"/>
      <c r="E113" s="138">
        <f>E111/E112</f>
        <v>3125.3857452950051</v>
      </c>
      <c r="F113" s="71"/>
      <c r="G113" s="19"/>
    </row>
    <row r="114" spans="1:7" ht="28" customHeight="1" thickBot="1">
      <c r="A114" s="264" t="s">
        <v>133</v>
      </c>
      <c r="B114" s="249"/>
      <c r="C114" s="249"/>
      <c r="D114" s="126"/>
      <c r="E114" s="301">
        <v>12</v>
      </c>
      <c r="F114" s="71"/>
      <c r="G114" s="19"/>
    </row>
    <row r="115" spans="1:7" ht="20" thickTop="1" thickBot="1">
      <c r="A115" s="139" t="s">
        <v>135</v>
      </c>
      <c r="B115" s="140"/>
      <c r="C115" s="140"/>
      <c r="D115" s="140"/>
      <c r="E115" s="214">
        <f>E113/E114</f>
        <v>260.44881210791709</v>
      </c>
      <c r="F115" s="58"/>
    </row>
    <row r="116" spans="1:7" ht="18" customHeight="1" thickTop="1" thickBot="1">
      <c r="A116" s="48"/>
      <c r="B116" s="48"/>
      <c r="C116" s="35"/>
      <c r="D116" s="115"/>
      <c r="E116" s="116"/>
      <c r="F116" s="71"/>
      <c r="G116" s="19"/>
    </row>
    <row r="117" spans="1:7" ht="18" customHeight="1" thickTop="1" thickBot="1">
      <c r="A117" s="130" t="s">
        <v>33</v>
      </c>
      <c r="B117" s="41"/>
      <c r="C117" s="41"/>
      <c r="D117" s="131" t="s">
        <v>161</v>
      </c>
      <c r="E117" s="215">
        <f>IF(D117="NO",0,E115)</f>
        <v>0</v>
      </c>
      <c r="F117" s="71" t="s">
        <v>176</v>
      </c>
      <c r="G117" s="19"/>
    </row>
    <row r="118" spans="1:7" ht="18" customHeight="1" thickTop="1">
      <c r="A118" s="48"/>
      <c r="B118" s="48"/>
      <c r="C118" s="35"/>
      <c r="D118" s="115"/>
      <c r="E118" s="115"/>
      <c r="F118" s="19" t="s">
        <v>219</v>
      </c>
      <c r="G118" s="19"/>
    </row>
    <row r="119" spans="1:7" ht="18" customHeight="1">
      <c r="A119" s="48"/>
      <c r="B119" s="48"/>
      <c r="C119" s="35"/>
      <c r="D119" s="115"/>
      <c r="E119" s="115"/>
      <c r="F119" s="19"/>
      <c r="G119" s="19"/>
    </row>
    <row r="120" spans="1:7" ht="18" customHeight="1">
      <c r="A120" s="48"/>
      <c r="B120" s="48"/>
      <c r="C120" s="35"/>
      <c r="D120" s="115"/>
      <c r="E120" s="115"/>
      <c r="F120" s="19"/>
      <c r="G120" s="19"/>
    </row>
    <row r="121" spans="1:7" ht="18" customHeight="1">
      <c r="A121" s="48"/>
      <c r="B121" s="48"/>
      <c r="C121" s="35"/>
      <c r="D121" s="115"/>
      <c r="E121" s="115"/>
      <c r="F121" s="19"/>
      <c r="G121" s="19"/>
    </row>
    <row r="122" spans="1:7" ht="18" customHeight="1">
      <c r="A122" s="48"/>
      <c r="B122" s="48"/>
      <c r="C122" s="35"/>
      <c r="D122" s="115"/>
      <c r="E122" s="115"/>
      <c r="F122" s="19"/>
      <c r="G122" s="19"/>
    </row>
    <row r="123" spans="1:7" ht="18" customHeight="1">
      <c r="A123" s="48"/>
      <c r="B123" s="48"/>
      <c r="C123" s="35"/>
      <c r="D123" s="115"/>
      <c r="E123" s="115"/>
      <c r="F123" s="19"/>
      <c r="G123" s="19"/>
    </row>
    <row r="124" spans="1:7" ht="18" customHeight="1">
      <c r="A124" s="48"/>
      <c r="B124" s="48"/>
      <c r="C124" s="35"/>
      <c r="D124" s="115"/>
      <c r="E124" s="115"/>
      <c r="F124" s="19"/>
      <c r="G124" s="19"/>
    </row>
    <row r="125" spans="1:7" ht="18" customHeight="1">
      <c r="A125" s="48"/>
      <c r="B125" s="48"/>
      <c r="C125" s="35"/>
      <c r="D125" s="115"/>
      <c r="E125" s="115"/>
      <c r="F125" s="19"/>
      <c r="G125" s="19"/>
    </row>
    <row r="126" spans="1:7" ht="18" customHeight="1">
      <c r="A126" s="48"/>
      <c r="B126" s="48"/>
      <c r="C126" s="35"/>
      <c r="D126" s="115"/>
      <c r="E126" s="115"/>
      <c r="F126" s="19"/>
      <c r="G126" s="19"/>
    </row>
    <row r="127" spans="1:7" ht="18" customHeight="1">
      <c r="A127" s="48"/>
      <c r="B127" s="48"/>
      <c r="C127" s="35"/>
      <c r="D127" s="115"/>
      <c r="E127" s="115"/>
      <c r="F127" s="19"/>
      <c r="G127" s="19"/>
    </row>
    <row r="128" spans="1:7" ht="18" customHeight="1">
      <c r="A128" s="48"/>
      <c r="B128" s="48"/>
      <c r="C128" s="35"/>
      <c r="D128" s="115"/>
      <c r="E128" s="115"/>
      <c r="F128" s="19"/>
      <c r="G128" s="19"/>
    </row>
    <row r="129" spans="1:7" ht="18" customHeight="1">
      <c r="A129" s="48"/>
      <c r="B129" s="48"/>
      <c r="C129" s="35"/>
      <c r="D129" s="115"/>
      <c r="E129" s="115"/>
      <c r="F129" s="19"/>
      <c r="G129" s="19"/>
    </row>
    <row r="130" spans="1:7" ht="18" customHeight="1">
      <c r="A130" s="48"/>
      <c r="B130" s="48"/>
      <c r="C130" s="35"/>
      <c r="D130" s="115"/>
      <c r="E130" s="115"/>
      <c r="F130" s="19"/>
      <c r="G130" s="19"/>
    </row>
    <row r="131" spans="1:7" ht="18" customHeight="1">
      <c r="A131" s="48"/>
      <c r="B131" s="48"/>
      <c r="C131" s="35"/>
      <c r="D131" s="115"/>
      <c r="E131" s="115"/>
      <c r="F131" s="19"/>
      <c r="G131" s="19"/>
    </row>
    <row r="132" spans="1:7" ht="18" customHeight="1">
      <c r="A132" s="48"/>
      <c r="B132" s="48"/>
      <c r="C132" s="35"/>
      <c r="D132" s="115"/>
      <c r="E132" s="115"/>
      <c r="F132" s="19"/>
      <c r="G132" s="19"/>
    </row>
    <row r="133" spans="1:7" ht="18" customHeight="1">
      <c r="A133" s="48"/>
      <c r="B133" s="48"/>
      <c r="C133" s="35"/>
      <c r="D133" s="115"/>
      <c r="E133" s="115"/>
      <c r="F133" s="19"/>
      <c r="G133" s="19"/>
    </row>
    <row r="134" spans="1:7" ht="18" customHeight="1">
      <c r="A134" s="48"/>
      <c r="B134" s="48"/>
      <c r="C134" s="35"/>
      <c r="D134" s="115"/>
      <c r="E134" s="115"/>
      <c r="F134" s="19"/>
      <c r="G134" s="19"/>
    </row>
    <row r="135" spans="1:7" ht="18" customHeight="1">
      <c r="A135" s="253" t="s">
        <v>210</v>
      </c>
      <c r="B135" s="254"/>
      <c r="C135" s="254"/>
      <c r="D135" s="254"/>
      <c r="E135" s="254"/>
      <c r="F135" s="19"/>
      <c r="G135" s="19"/>
    </row>
    <row r="136" spans="1:7" ht="7" customHeight="1">
      <c r="A136" s="48"/>
      <c r="B136" s="48"/>
      <c r="C136" s="35"/>
      <c r="D136" s="115"/>
      <c r="E136" s="115"/>
      <c r="F136" s="19"/>
      <c r="G136" s="19"/>
    </row>
    <row r="137" spans="1:7" ht="18" customHeight="1">
      <c r="A137" s="48"/>
      <c r="B137" s="48"/>
      <c r="C137" s="42"/>
      <c r="D137" s="115"/>
      <c r="E137" s="181" t="s">
        <v>48</v>
      </c>
      <c r="F137" s="19"/>
      <c r="G137" s="19"/>
    </row>
    <row r="138" spans="1:7" ht="18" customHeight="1">
      <c r="A138" s="104" t="s">
        <v>127</v>
      </c>
      <c r="B138" s="48"/>
      <c r="C138" s="42"/>
      <c r="D138" s="115"/>
      <c r="E138" s="115">
        <f>E19</f>
        <v>2927</v>
      </c>
      <c r="F138" s="19"/>
      <c r="G138" s="19"/>
    </row>
    <row r="139" spans="1:7" ht="7" customHeight="1">
      <c r="A139" s="48"/>
      <c r="B139" s="48"/>
      <c r="C139" s="42"/>
      <c r="D139" s="115"/>
      <c r="E139" s="115"/>
      <c r="F139" s="19"/>
      <c r="G139" s="19"/>
    </row>
    <row r="140" spans="1:7" ht="18" customHeight="1">
      <c r="A140" s="104" t="s">
        <v>128</v>
      </c>
      <c r="B140" s="48"/>
      <c r="C140" s="42"/>
      <c r="D140" s="115"/>
      <c r="E140" s="115"/>
      <c r="F140" s="19"/>
      <c r="G140" s="19"/>
    </row>
    <row r="141" spans="1:7" ht="18" customHeight="1">
      <c r="A141" s="104" t="s">
        <v>129</v>
      </c>
      <c r="B141" s="48"/>
      <c r="C141" s="42"/>
      <c r="D141" s="115">
        <f>E50</f>
        <v>815</v>
      </c>
      <c r="E141" s="115"/>
      <c r="F141" s="19"/>
      <c r="G141" s="19"/>
    </row>
    <row r="142" spans="1:7" ht="18" customHeight="1">
      <c r="A142" s="104" t="s">
        <v>130</v>
      </c>
      <c r="B142" s="48"/>
      <c r="C142" s="42"/>
      <c r="D142" s="115">
        <f>E81</f>
        <v>309.06</v>
      </c>
      <c r="E142" s="115"/>
      <c r="F142" s="19"/>
      <c r="G142" s="19"/>
    </row>
    <row r="143" spans="1:7" ht="18" customHeight="1">
      <c r="A143" s="104" t="s">
        <v>131</v>
      </c>
      <c r="B143" s="48"/>
      <c r="C143" s="42"/>
      <c r="D143" s="115">
        <f>E117</f>
        <v>0</v>
      </c>
      <c r="E143" s="115"/>
      <c r="F143" s="19"/>
      <c r="G143" s="19"/>
    </row>
    <row r="144" spans="1:7" ht="18" customHeight="1">
      <c r="A144" s="104" t="s">
        <v>132</v>
      </c>
      <c r="B144" s="48"/>
      <c r="C144" s="42"/>
      <c r="D144" s="115"/>
      <c r="E144" s="115">
        <f>SUM(D141:D143)</f>
        <v>1124.06</v>
      </c>
      <c r="F144" s="19"/>
      <c r="G144" s="19"/>
    </row>
    <row r="145" spans="1:14" ht="9" customHeight="1" thickBot="1">
      <c r="A145" s="48"/>
      <c r="B145" s="48"/>
      <c r="C145" s="42"/>
      <c r="D145" s="115"/>
      <c r="E145" s="115"/>
      <c r="F145" s="19"/>
      <c r="G145" s="19"/>
    </row>
    <row r="146" spans="1:14" ht="22" customHeight="1" thickTop="1" thickBot="1">
      <c r="A146" s="265" t="s">
        <v>65</v>
      </c>
      <c r="B146" s="265"/>
      <c r="C146" s="142"/>
      <c r="D146" s="133"/>
      <c r="E146" s="132">
        <f>E138-E144</f>
        <v>1802.94</v>
      </c>
    </row>
    <row r="147" spans="1:14" ht="7" customHeight="1" thickTop="1">
      <c r="A147" s="1"/>
      <c r="B147" s="1"/>
      <c r="C147" s="19"/>
      <c r="D147" s="19"/>
      <c r="E147" s="13"/>
    </row>
    <row r="148" spans="1:14" ht="20">
      <c r="A148" s="64" t="s">
        <v>3</v>
      </c>
      <c r="B148" s="1"/>
      <c r="C148" s="19"/>
      <c r="D148" s="144"/>
      <c r="E148" s="145">
        <f>K378</f>
        <v>0.83205128205128209</v>
      </c>
      <c r="F148" s="58" t="s">
        <v>177</v>
      </c>
    </row>
    <row r="149" spans="1:14" ht="24" customHeight="1">
      <c r="A149" s="248" t="s">
        <v>140</v>
      </c>
      <c r="B149" s="249"/>
      <c r="C149" s="249"/>
      <c r="D149" s="144"/>
      <c r="E149" s="146">
        <f>K437</f>
        <v>4.3819650999999995</v>
      </c>
      <c r="F149" s="71" t="s">
        <v>220</v>
      </c>
    </row>
    <row r="150" spans="1:14" ht="166" customHeight="1" thickBot="1">
      <c r="A150" s="268" t="s">
        <v>186</v>
      </c>
      <c r="B150" s="269"/>
      <c r="C150" s="269"/>
      <c r="D150" s="269"/>
      <c r="E150" s="18">
        <v>0</v>
      </c>
      <c r="F150" s="244" t="s">
        <v>269</v>
      </c>
      <c r="G150" s="245"/>
      <c r="H150" s="245"/>
      <c r="I150" s="245"/>
      <c r="J150" s="245"/>
      <c r="K150" s="245"/>
      <c r="L150" s="245"/>
      <c r="M150" s="245"/>
      <c r="N150" s="245"/>
    </row>
    <row r="151" spans="1:14" ht="22" thickTop="1" thickBot="1">
      <c r="A151" s="265" t="s">
        <v>141</v>
      </c>
      <c r="B151" s="265"/>
      <c r="C151" s="142"/>
      <c r="D151" s="133"/>
      <c r="E151" s="132">
        <f>E149*E146+E146*E149*E150</f>
        <v>7900.420157393999</v>
      </c>
    </row>
    <row r="152" spans="1:14" ht="11" customHeight="1" thickTop="1">
      <c r="A152" s="48"/>
      <c r="B152" s="48"/>
      <c r="C152" s="19"/>
      <c r="D152" s="147"/>
      <c r="E152" s="141"/>
    </row>
    <row r="153" spans="1:14" ht="27" customHeight="1">
      <c r="A153" s="64" t="s">
        <v>4</v>
      </c>
      <c r="B153" s="1"/>
      <c r="C153" s="19"/>
      <c r="D153" s="19"/>
      <c r="E153" s="143">
        <v>1.25</v>
      </c>
      <c r="F153" s="71" t="s">
        <v>221</v>
      </c>
    </row>
    <row r="154" spans="1:14" ht="27" customHeight="1" thickBot="1">
      <c r="A154" s="268" t="s">
        <v>187</v>
      </c>
      <c r="B154" s="269"/>
      <c r="C154" s="269"/>
      <c r="D154" s="19"/>
      <c r="E154" s="18">
        <v>0</v>
      </c>
      <c r="F154" s="71" t="s">
        <v>222</v>
      </c>
    </row>
    <row r="155" spans="1:14" ht="22" thickTop="1" thickBot="1">
      <c r="A155" s="265" t="s">
        <v>188</v>
      </c>
      <c r="B155" s="265"/>
      <c r="C155" s="142"/>
      <c r="D155" s="133"/>
      <c r="E155" s="132">
        <f>E151*E153+E151*E153*E154</f>
        <v>9875.5251967424992</v>
      </c>
      <c r="F155" s="244"/>
      <c r="G155" s="245"/>
      <c r="H155" s="245"/>
      <c r="I155" s="245"/>
      <c r="J155" s="245"/>
      <c r="K155" s="245"/>
    </row>
    <row r="156" spans="1:14" ht="39" customHeight="1" thickTop="1" thickBot="1">
      <c r="A156" s="265" t="s">
        <v>142</v>
      </c>
      <c r="B156" s="265"/>
      <c r="C156" s="266"/>
      <c r="D156" s="133"/>
      <c r="E156" s="132">
        <f>E151+E155</f>
        <v>17775.9453541365</v>
      </c>
    </row>
    <row r="157" spans="1:14" ht="16" thickTop="1"/>
    <row r="174" spans="1:10" ht="19" customHeight="1">
      <c r="A174" s="253" t="s">
        <v>246</v>
      </c>
      <c r="B174" s="253"/>
      <c r="C174" s="253"/>
      <c r="D174" s="253"/>
      <c r="E174" s="253"/>
      <c r="F174" s="245"/>
      <c r="G174" s="245"/>
      <c r="H174" s="245"/>
      <c r="I174" s="245"/>
      <c r="J174" s="245"/>
    </row>
    <row r="175" spans="1:10" ht="9" customHeight="1" thickBot="1"/>
    <row r="176" spans="1:10" ht="19" thickTop="1">
      <c r="A176" s="85" t="s">
        <v>194</v>
      </c>
      <c r="B176" s="34"/>
      <c r="C176" s="34"/>
      <c r="D176" s="34"/>
      <c r="E176" s="34"/>
      <c r="F176" s="34"/>
      <c r="G176" s="194" t="s">
        <v>48</v>
      </c>
    </row>
    <row r="177" spans="1:10" ht="18">
      <c r="A177" s="87"/>
      <c r="B177" s="152" t="s">
        <v>29</v>
      </c>
      <c r="C177" s="152" t="s">
        <v>224</v>
      </c>
      <c r="D177" s="88" t="s">
        <v>107</v>
      </c>
      <c r="E177" s="35"/>
      <c r="F177" s="35"/>
      <c r="G177" s="36"/>
      <c r="H177" s="58" t="s">
        <v>244</v>
      </c>
    </row>
    <row r="178" spans="1:10" ht="20" customHeight="1">
      <c r="A178" s="148"/>
      <c r="B178" s="158" t="s">
        <v>223</v>
      </c>
      <c r="C178" s="158" t="s">
        <v>223</v>
      </c>
      <c r="D178" s="152" t="s">
        <v>15</v>
      </c>
      <c r="E178" s="152" t="s">
        <v>17</v>
      </c>
      <c r="F178" s="152" t="s">
        <v>18</v>
      </c>
      <c r="G178" s="216" t="s">
        <v>6</v>
      </c>
      <c r="H178" s="272" t="s">
        <v>245</v>
      </c>
    </row>
    <row r="179" spans="1:10">
      <c r="A179" s="148"/>
      <c r="B179" s="158"/>
      <c r="C179" s="158"/>
      <c r="D179" s="152" t="s">
        <v>16</v>
      </c>
      <c r="E179" s="152" t="s">
        <v>16</v>
      </c>
      <c r="F179" s="152" t="s">
        <v>16</v>
      </c>
      <c r="G179" s="216" t="s">
        <v>5</v>
      </c>
      <c r="H179" s="272" t="s">
        <v>242</v>
      </c>
      <c r="I179" s="19"/>
      <c r="J179" s="19"/>
    </row>
    <row r="180" spans="1:10">
      <c r="A180" s="148"/>
      <c r="B180" s="158"/>
      <c r="C180" s="158"/>
      <c r="D180" s="152"/>
      <c r="E180" s="152"/>
      <c r="F180" s="152"/>
      <c r="G180" s="216"/>
      <c r="H180" s="272" t="s">
        <v>243</v>
      </c>
      <c r="I180" s="19"/>
      <c r="J180" s="19"/>
    </row>
    <row r="181" spans="1:10">
      <c r="A181" s="148"/>
      <c r="B181" s="158"/>
      <c r="C181" s="158"/>
      <c r="D181" s="152"/>
      <c r="E181" s="152"/>
      <c r="F181" s="152"/>
      <c r="G181" s="216"/>
      <c r="H181" s="273" t="s">
        <v>143</v>
      </c>
    </row>
    <row r="182" spans="1:10" ht="18">
      <c r="A182" s="149" t="s">
        <v>226</v>
      </c>
      <c r="B182" s="275">
        <f>B378</f>
        <v>0.75</v>
      </c>
      <c r="C182" s="275">
        <f>1-B182</f>
        <v>0.25</v>
      </c>
      <c r="D182" s="217">
        <f>E146</f>
        <v>1802.94</v>
      </c>
      <c r="E182" s="217" t="s">
        <v>19</v>
      </c>
      <c r="F182" s="217">
        <f>SUM(D182:E182)</f>
        <v>1802.94</v>
      </c>
      <c r="G182" s="218">
        <f>F182</f>
        <v>1802.94</v>
      </c>
      <c r="H182" s="274" t="s">
        <v>237</v>
      </c>
    </row>
    <row r="183" spans="1:10" ht="18">
      <c r="A183" s="149" t="s">
        <v>227</v>
      </c>
      <c r="B183" s="275">
        <f>C378</f>
        <v>0.77500000000000002</v>
      </c>
      <c r="C183" s="275">
        <f t="shared" ref="C183:C189" si="4">1-B183</f>
        <v>0.22499999999999998</v>
      </c>
      <c r="D183" s="217">
        <f>D182*B378</f>
        <v>1352.2049999999999</v>
      </c>
      <c r="E183" s="217"/>
      <c r="F183" s="217">
        <f t="shared" ref="F183:F191" si="5">SUM(D183:E183)</f>
        <v>1352.2049999999999</v>
      </c>
      <c r="G183" s="219">
        <f>G182+F183</f>
        <v>3155.145</v>
      </c>
      <c r="H183" s="274" t="s">
        <v>238</v>
      </c>
    </row>
    <row r="184" spans="1:10" ht="18">
      <c r="A184" s="149" t="s">
        <v>228</v>
      </c>
      <c r="B184" s="275">
        <f>D378</f>
        <v>0.85</v>
      </c>
      <c r="C184" s="275">
        <f t="shared" si="4"/>
        <v>0.15000000000000002</v>
      </c>
      <c r="D184" s="217">
        <f>D183*C378</f>
        <v>1047.958875</v>
      </c>
      <c r="E184" s="217">
        <f>E146*$E$153</f>
        <v>2253.6750000000002</v>
      </c>
      <c r="F184" s="217">
        <f t="shared" si="5"/>
        <v>3301.6338750000004</v>
      </c>
      <c r="G184" s="219">
        <f t="shared" ref="G184:G191" si="6">G183+F184</f>
        <v>6456.778875</v>
      </c>
      <c r="H184" s="273" t="s">
        <v>239</v>
      </c>
    </row>
    <row r="185" spans="1:10" ht="18">
      <c r="A185" s="149" t="s">
        <v>229</v>
      </c>
      <c r="B185" s="275">
        <f>E378</f>
        <v>0.9</v>
      </c>
      <c r="C185" s="275">
        <f t="shared" si="4"/>
        <v>9.9999999999999978E-2</v>
      </c>
      <c r="D185" s="217">
        <f>D184*D378</f>
        <v>890.76504375000002</v>
      </c>
      <c r="E185" s="217">
        <f>E184*B378</f>
        <v>1690.2562500000001</v>
      </c>
      <c r="F185" s="217">
        <f t="shared" si="5"/>
        <v>2581.02129375</v>
      </c>
      <c r="G185" s="219">
        <f t="shared" si="6"/>
        <v>9037.80016875</v>
      </c>
      <c r="H185" s="274" t="s">
        <v>241</v>
      </c>
    </row>
    <row r="186" spans="1:10" ht="18">
      <c r="A186" s="149" t="s">
        <v>230</v>
      </c>
      <c r="B186" s="275">
        <f>F378</f>
        <v>0.8</v>
      </c>
      <c r="C186" s="275">
        <f t="shared" si="4"/>
        <v>0.19999999999999996</v>
      </c>
      <c r="D186" s="217">
        <f>D185*E378</f>
        <v>801.688539375</v>
      </c>
      <c r="E186" s="217">
        <f>E185*C378</f>
        <v>1309.9485937500001</v>
      </c>
      <c r="F186" s="217">
        <f t="shared" si="5"/>
        <v>2111.6371331250002</v>
      </c>
      <c r="G186" s="218">
        <f t="shared" si="6"/>
        <v>11149.437301875001</v>
      </c>
      <c r="H186" s="274" t="s">
        <v>240</v>
      </c>
    </row>
    <row r="187" spans="1:10" ht="18">
      <c r="A187" s="149" t="s">
        <v>231</v>
      </c>
      <c r="B187" s="275">
        <f>G378</f>
        <v>0.8</v>
      </c>
      <c r="C187" s="275">
        <f t="shared" si="4"/>
        <v>0.19999999999999996</v>
      </c>
      <c r="D187" s="217">
        <f>D186*F378</f>
        <v>641.35083150000003</v>
      </c>
      <c r="E187" s="217">
        <f>E186*D378</f>
        <v>1113.4563046875001</v>
      </c>
      <c r="F187" s="217">
        <f t="shared" si="5"/>
        <v>1754.8071361875</v>
      </c>
      <c r="G187" s="219">
        <f t="shared" si="6"/>
        <v>12904.244438062502</v>
      </c>
      <c r="H187" s="274" t="s">
        <v>236</v>
      </c>
    </row>
    <row r="188" spans="1:10" ht="18">
      <c r="A188" s="149" t="s">
        <v>232</v>
      </c>
      <c r="B188" s="275">
        <f>H378</f>
        <v>0.85</v>
      </c>
      <c r="C188" s="275">
        <f t="shared" si="4"/>
        <v>0.15000000000000002</v>
      </c>
      <c r="D188" s="217">
        <f>D187*G378</f>
        <v>513.0806652</v>
      </c>
      <c r="E188" s="217">
        <f>E187*E378</f>
        <v>1002.1106742187501</v>
      </c>
      <c r="F188" s="217">
        <f t="shared" si="5"/>
        <v>1515.19133941875</v>
      </c>
      <c r="G188" s="219">
        <f t="shared" si="6"/>
        <v>14419.435777481252</v>
      </c>
    </row>
    <row r="189" spans="1:10" ht="18">
      <c r="A189" s="149" t="s">
        <v>233</v>
      </c>
      <c r="B189" s="275">
        <f>I378</f>
        <v>0.95</v>
      </c>
      <c r="C189" s="275">
        <f t="shared" si="4"/>
        <v>5.0000000000000044E-2</v>
      </c>
      <c r="D189" s="217">
        <f>D188*H378</f>
        <v>436.11856541999998</v>
      </c>
      <c r="E189" s="217">
        <f>E188*F378</f>
        <v>801.68853937500012</v>
      </c>
      <c r="F189" s="217">
        <f t="shared" si="5"/>
        <v>1237.8071047950002</v>
      </c>
      <c r="G189" s="219">
        <f t="shared" si="6"/>
        <v>15657.242882276252</v>
      </c>
    </row>
    <row r="190" spans="1:10" ht="18">
      <c r="A190" s="149" t="s">
        <v>234</v>
      </c>
      <c r="B190" s="275" t="s">
        <v>225</v>
      </c>
      <c r="C190" s="275"/>
      <c r="D190" s="217">
        <f>D189*I378</f>
        <v>414.31263714899995</v>
      </c>
      <c r="E190" s="217">
        <f>E189*G378</f>
        <v>641.35083150000014</v>
      </c>
      <c r="F190" s="217">
        <f t="shared" si="5"/>
        <v>1055.6634686490002</v>
      </c>
      <c r="G190" s="219">
        <f t="shared" si="6"/>
        <v>16712.906350925252</v>
      </c>
    </row>
    <row r="191" spans="1:10" ht="19" thickBot="1">
      <c r="A191" s="150" t="s">
        <v>235</v>
      </c>
      <c r="B191" s="276"/>
      <c r="C191" s="276"/>
      <c r="D191" s="220"/>
      <c r="E191" s="220">
        <f>E190*H378</f>
        <v>545.14820677500006</v>
      </c>
      <c r="F191" s="220">
        <f t="shared" si="5"/>
        <v>545.14820677500006</v>
      </c>
      <c r="G191" s="221">
        <f t="shared" si="6"/>
        <v>17258.054557700252</v>
      </c>
    </row>
    <row r="192" spans="1:10" s="35" customFormat="1" ht="16" thickTop="1"/>
    <row r="210" spans="1:11" ht="26" customHeight="1">
      <c r="A210" s="253" t="s">
        <v>211</v>
      </c>
      <c r="B210" s="253"/>
      <c r="C210" s="253"/>
      <c r="D210" s="253"/>
      <c r="E210" s="253"/>
      <c r="F210" s="246"/>
      <c r="G210" s="246"/>
      <c r="H210" s="246"/>
      <c r="I210" s="246"/>
      <c r="J210" s="246"/>
    </row>
    <row r="211" spans="1:11">
      <c r="A211" s="195" t="s">
        <v>178</v>
      </c>
    </row>
    <row r="212" spans="1:11">
      <c r="A212" s="195" t="s">
        <v>179</v>
      </c>
    </row>
    <row r="213" spans="1:11">
      <c r="A213" s="195" t="s">
        <v>270</v>
      </c>
    </row>
    <row r="214" spans="1:11">
      <c r="A214" s="195" t="s">
        <v>180</v>
      </c>
    </row>
    <row r="215" spans="1:11">
      <c r="A215" s="195" t="s">
        <v>181</v>
      </c>
    </row>
    <row r="216" spans="1:11">
      <c r="A216" s="195"/>
    </row>
    <row r="217" spans="1:11">
      <c r="A217" s="195" t="s">
        <v>182</v>
      </c>
    </row>
    <row r="218" spans="1:11">
      <c r="A218" s="195" t="s">
        <v>144</v>
      </c>
    </row>
    <row r="219" spans="1:11" ht="9" customHeight="1">
      <c r="A219" s="44"/>
      <c r="G219" s="35"/>
      <c r="H219" s="35"/>
      <c r="I219" s="35"/>
      <c r="J219" s="35"/>
      <c r="K219" s="35"/>
    </row>
    <row r="220" spans="1:11" ht="19" thickBot="1">
      <c r="A220" s="44"/>
      <c r="G220" s="35"/>
      <c r="H220" s="35"/>
      <c r="I220" s="35"/>
      <c r="J220" s="35"/>
      <c r="K220" s="35"/>
    </row>
    <row r="221" spans="1:11" ht="16" customHeight="1" thickTop="1">
      <c r="A221" s="155"/>
      <c r="B221" s="34"/>
      <c r="C221" s="34"/>
      <c r="D221" s="34"/>
      <c r="E221" s="277" t="s">
        <v>48</v>
      </c>
      <c r="F221" s="278"/>
      <c r="G221" s="25"/>
    </row>
    <row r="222" spans="1:11">
      <c r="A222" s="25"/>
      <c r="B222" s="35" t="s">
        <v>100</v>
      </c>
      <c r="C222" s="35"/>
      <c r="D222" s="35"/>
      <c r="E222" s="35"/>
      <c r="F222" s="279">
        <v>-20000</v>
      </c>
      <c r="G222" s="25"/>
      <c r="H222" s="58" t="s">
        <v>247</v>
      </c>
    </row>
    <row r="223" spans="1:11">
      <c r="A223" s="25"/>
      <c r="B223" s="35" t="s">
        <v>101</v>
      </c>
      <c r="C223" s="35"/>
      <c r="D223" s="35"/>
      <c r="E223" s="35"/>
      <c r="F223" s="280">
        <v>7</v>
      </c>
      <c r="G223" s="287"/>
      <c r="H223" s="58" t="s">
        <v>248</v>
      </c>
    </row>
    <row r="224" spans="1:11" ht="18">
      <c r="A224" s="25"/>
      <c r="B224" s="73"/>
      <c r="C224" s="35"/>
      <c r="D224" s="35"/>
      <c r="E224" s="35"/>
      <c r="F224" s="36"/>
      <c r="G224" s="25"/>
      <c r="H224" s="58" t="s">
        <v>249</v>
      </c>
    </row>
    <row r="225" spans="1:14" ht="15" customHeight="1">
      <c r="A225" s="25"/>
      <c r="B225" s="262" t="s">
        <v>250</v>
      </c>
      <c r="C225" s="157" t="s">
        <v>15</v>
      </c>
      <c r="D225" s="157" t="s">
        <v>17</v>
      </c>
      <c r="E225" s="157" t="s">
        <v>2</v>
      </c>
      <c r="F225" s="281" t="s">
        <v>108</v>
      </c>
      <c r="G225" s="25"/>
    </row>
    <row r="226" spans="1:14" ht="39" customHeight="1">
      <c r="A226" s="25"/>
      <c r="B226" s="289"/>
      <c r="C226" s="159" t="s">
        <v>16</v>
      </c>
      <c r="D226" s="159" t="s">
        <v>16</v>
      </c>
      <c r="E226" s="159" t="s">
        <v>16</v>
      </c>
      <c r="F226" s="282"/>
      <c r="G226" s="25"/>
      <c r="H226" s="244" t="s">
        <v>251</v>
      </c>
      <c r="I226" s="245"/>
      <c r="J226" s="245"/>
      <c r="K226" s="245"/>
      <c r="L226" s="245"/>
      <c r="M226" s="245"/>
      <c r="N226" s="245"/>
    </row>
    <row r="227" spans="1:14" ht="26" customHeight="1">
      <c r="A227" s="25"/>
      <c r="B227" s="290"/>
      <c r="C227" s="159"/>
      <c r="D227" s="159"/>
      <c r="E227" s="159"/>
      <c r="F227" s="291"/>
      <c r="G227" s="25"/>
      <c r="H227" s="292"/>
      <c r="I227" s="292"/>
      <c r="J227" s="292"/>
      <c r="K227" s="292"/>
      <c r="L227" s="292"/>
      <c r="M227" s="292"/>
      <c r="N227" s="292"/>
    </row>
    <row r="228" spans="1:14">
      <c r="A228" s="148" t="s">
        <v>102</v>
      </c>
      <c r="B228" s="37">
        <f>F222</f>
        <v>-20000</v>
      </c>
      <c r="C228" s="35"/>
      <c r="D228" s="37"/>
      <c r="E228" s="37">
        <f>SUM(B228:D228)</f>
        <v>-20000</v>
      </c>
      <c r="F228" s="283">
        <f>SUM(E228)</f>
        <v>-20000</v>
      </c>
      <c r="G228" s="25"/>
    </row>
    <row r="229" spans="1:14">
      <c r="A229" s="148" t="s">
        <v>154</v>
      </c>
      <c r="B229" s="152"/>
      <c r="C229" s="37">
        <f>D182*$F$223</f>
        <v>12620.58</v>
      </c>
      <c r="D229" s="37"/>
      <c r="E229" s="37">
        <f t="shared" ref="E229:E239" si="7">SUM(C229:D229)</f>
        <v>12620.58</v>
      </c>
      <c r="F229" s="284">
        <f>E229+F228</f>
        <v>-7379.42</v>
      </c>
      <c r="G229" s="25"/>
    </row>
    <row r="230" spans="1:14" ht="16" thickBot="1">
      <c r="A230" s="153" t="s">
        <v>155</v>
      </c>
      <c r="B230" s="154">
        <f>SUM(B228:B229)</f>
        <v>-20000</v>
      </c>
      <c r="C230" s="154">
        <f t="shared" ref="C230:E230" si="8">SUM(C228:C229)</f>
        <v>12620.58</v>
      </c>
      <c r="D230" s="154"/>
      <c r="E230" s="154">
        <f t="shared" si="8"/>
        <v>-7379.42</v>
      </c>
      <c r="F230" s="285">
        <f>E230+F229</f>
        <v>-14758.84</v>
      </c>
      <c r="G230" s="288"/>
    </row>
    <row r="231" spans="1:14" ht="16" thickTop="1">
      <c r="A231" s="148" t="s">
        <v>145</v>
      </c>
      <c r="B231" s="152"/>
      <c r="C231" s="37">
        <f>D183*$F$223</f>
        <v>9465.4349999999995</v>
      </c>
      <c r="D231" s="37"/>
      <c r="E231" s="37">
        <f t="shared" si="7"/>
        <v>9465.4349999999995</v>
      </c>
      <c r="F231" s="284">
        <f>E231+F230</f>
        <v>-5293.4050000000007</v>
      </c>
      <c r="G231" s="25"/>
    </row>
    <row r="232" spans="1:14">
      <c r="A232" s="148" t="s">
        <v>146</v>
      </c>
      <c r="B232" s="152"/>
      <c r="C232" s="37">
        <f>D184*$F$223</f>
        <v>7335.712125</v>
      </c>
      <c r="D232" s="37">
        <f>$F$223*E184</f>
        <v>15775.725000000002</v>
      </c>
      <c r="E232" s="37">
        <f t="shared" si="7"/>
        <v>23111.437125000004</v>
      </c>
      <c r="F232" s="284">
        <f t="shared" ref="F232:F239" si="9">E232+F231</f>
        <v>17818.032125000005</v>
      </c>
      <c r="G232" s="25"/>
    </row>
    <row r="233" spans="1:14">
      <c r="A233" s="148" t="s">
        <v>147</v>
      </c>
      <c r="B233" s="152"/>
      <c r="C233" s="37">
        <f>D185*$F$223</f>
        <v>6235.3553062500005</v>
      </c>
      <c r="D233" s="37">
        <f>$F$223*E185</f>
        <v>11831.793750000001</v>
      </c>
      <c r="E233" s="37">
        <f t="shared" si="7"/>
        <v>18067.14905625</v>
      </c>
      <c r="F233" s="284">
        <f t="shared" si="9"/>
        <v>35885.181181250009</v>
      </c>
      <c r="G233" s="25"/>
    </row>
    <row r="234" spans="1:14">
      <c r="A234" s="148" t="s">
        <v>148</v>
      </c>
      <c r="B234" s="152"/>
      <c r="C234" s="37">
        <f>D186*$F$223</f>
        <v>5611.8197756250001</v>
      </c>
      <c r="D234" s="37">
        <f>$F$223*E186</f>
        <v>9169.6401562500014</v>
      </c>
      <c r="E234" s="37">
        <f t="shared" si="7"/>
        <v>14781.459931875001</v>
      </c>
      <c r="F234" s="284">
        <f t="shared" si="9"/>
        <v>50666.641113125006</v>
      </c>
      <c r="G234" s="25"/>
    </row>
    <row r="235" spans="1:14">
      <c r="A235" s="148" t="s">
        <v>149</v>
      </c>
      <c r="B235" s="152"/>
      <c r="C235" s="37">
        <f>D187*$F$223</f>
        <v>4489.4558205000003</v>
      </c>
      <c r="D235" s="37">
        <f>$F$223*E187</f>
        <v>7794.1941328125004</v>
      </c>
      <c r="E235" s="37">
        <f t="shared" si="7"/>
        <v>12283.649953312501</v>
      </c>
      <c r="F235" s="284">
        <f t="shared" si="9"/>
        <v>62950.291066437509</v>
      </c>
      <c r="G235" s="25"/>
    </row>
    <row r="236" spans="1:14">
      <c r="A236" s="148" t="s">
        <v>150</v>
      </c>
      <c r="B236" s="152"/>
      <c r="C236" s="37">
        <f>D188*$F$223</f>
        <v>3591.5646563999999</v>
      </c>
      <c r="D236" s="37">
        <f>$F$223*E188</f>
        <v>7014.7747195312504</v>
      </c>
      <c r="E236" s="37">
        <f t="shared" si="7"/>
        <v>10606.339375931249</v>
      </c>
      <c r="F236" s="284">
        <f t="shared" si="9"/>
        <v>73556.630442368754</v>
      </c>
      <c r="G236" s="25"/>
    </row>
    <row r="237" spans="1:14">
      <c r="A237" s="148" t="s">
        <v>151</v>
      </c>
      <c r="B237" s="152"/>
      <c r="C237" s="37">
        <f>D189*$F$223</f>
        <v>3052.82995794</v>
      </c>
      <c r="D237" s="37">
        <f>$F$223*E189</f>
        <v>5611.8197756250011</v>
      </c>
      <c r="E237" s="37">
        <f t="shared" si="7"/>
        <v>8664.649733565002</v>
      </c>
      <c r="F237" s="284">
        <f t="shared" si="9"/>
        <v>82221.28017593376</v>
      </c>
      <c r="G237" s="25"/>
    </row>
    <row r="238" spans="1:14">
      <c r="A238" s="148" t="s">
        <v>152</v>
      </c>
      <c r="B238" s="152"/>
      <c r="C238" s="37">
        <f>D190*$F$223</f>
        <v>2900.1884600429998</v>
      </c>
      <c r="D238" s="37">
        <f>$F$223*E190</f>
        <v>4489.4558205000012</v>
      </c>
      <c r="E238" s="37">
        <f t="shared" si="7"/>
        <v>7389.6442805430015</v>
      </c>
      <c r="F238" s="284">
        <f t="shared" si="9"/>
        <v>89610.924456476758</v>
      </c>
      <c r="G238" s="25"/>
    </row>
    <row r="239" spans="1:14" ht="16" thickBot="1">
      <c r="A239" s="151" t="s">
        <v>153</v>
      </c>
      <c r="B239" s="156"/>
      <c r="C239" s="102"/>
      <c r="D239" s="102">
        <f>$F$223*E191</f>
        <v>3816.0374474250002</v>
      </c>
      <c r="E239" s="102">
        <f t="shared" si="7"/>
        <v>3816.0374474250002</v>
      </c>
      <c r="F239" s="286">
        <f t="shared" si="9"/>
        <v>93426.961903901756</v>
      </c>
      <c r="G239" s="25"/>
    </row>
    <row r="240" spans="1:14" ht="16" thickTop="1">
      <c r="G240" s="35"/>
      <c r="H240" s="35"/>
      <c r="I240" s="35"/>
      <c r="J240" s="35"/>
      <c r="K240" s="35"/>
    </row>
    <row r="241" spans="1:8" ht="19" customHeight="1"/>
    <row r="242" spans="1:8" ht="19" customHeight="1"/>
    <row r="244" spans="1:8" ht="18">
      <c r="A244" s="44"/>
      <c r="B244" s="21"/>
      <c r="C244" s="21"/>
      <c r="D244" s="21"/>
      <c r="E244" s="21"/>
      <c r="F244" s="21"/>
      <c r="G244" s="21"/>
      <c r="H244" s="21"/>
    </row>
    <row r="245" spans="1:8" ht="18">
      <c r="A245" s="44"/>
      <c r="B245" s="21"/>
      <c r="C245" s="21"/>
      <c r="D245" s="21"/>
      <c r="E245" s="21"/>
      <c r="F245" s="21"/>
      <c r="G245" s="21"/>
      <c r="H245" s="21"/>
    </row>
    <row r="246" spans="1:8" ht="18">
      <c r="A246" s="44"/>
      <c r="B246" s="21"/>
      <c r="C246" s="21"/>
      <c r="D246" s="21"/>
      <c r="E246" s="21"/>
      <c r="F246" s="21"/>
      <c r="G246" s="21"/>
      <c r="H246" s="21"/>
    </row>
    <row r="247" spans="1:8" ht="18">
      <c r="A247" s="44"/>
      <c r="B247" s="21"/>
      <c r="C247" s="21"/>
      <c r="D247" s="21"/>
      <c r="E247" s="21"/>
      <c r="F247" s="21"/>
      <c r="G247" s="21"/>
      <c r="H247" s="21"/>
    </row>
    <row r="248" spans="1:8" ht="18">
      <c r="A248" s="44"/>
      <c r="B248" s="21"/>
      <c r="C248" s="21"/>
      <c r="D248" s="21"/>
      <c r="E248" s="21"/>
      <c r="F248" s="21"/>
      <c r="G248" s="21"/>
      <c r="H248" s="21"/>
    </row>
    <row r="249" spans="1:8" ht="18">
      <c r="A249" s="44"/>
      <c r="B249" s="21"/>
      <c r="C249" s="21"/>
      <c r="D249" s="21"/>
      <c r="E249" s="21"/>
      <c r="F249" s="21"/>
      <c r="G249" s="21"/>
      <c r="H249" s="21"/>
    </row>
    <row r="250" spans="1:8" ht="18">
      <c r="A250" s="44"/>
      <c r="B250" s="21"/>
      <c r="C250" s="21"/>
      <c r="D250" s="21"/>
      <c r="E250" s="21"/>
      <c r="F250" s="21"/>
      <c r="G250" s="21"/>
      <c r="H250" s="21"/>
    </row>
    <row r="251" spans="1:8" ht="18">
      <c r="A251" s="44"/>
      <c r="B251" s="21"/>
      <c r="C251" s="21"/>
      <c r="D251" s="21"/>
      <c r="E251" s="21"/>
      <c r="F251" s="21"/>
      <c r="G251" s="21"/>
      <c r="H251" s="21"/>
    </row>
    <row r="252" spans="1:8" ht="18">
      <c r="A252" s="44"/>
      <c r="B252" s="21"/>
      <c r="C252" s="21"/>
      <c r="D252" s="21"/>
      <c r="E252" s="21"/>
      <c r="F252" s="21"/>
      <c r="G252" s="21"/>
      <c r="H252" s="21"/>
    </row>
    <row r="253" spans="1:8" ht="18">
      <c r="A253" s="44"/>
      <c r="B253" s="21"/>
      <c r="C253" s="21"/>
      <c r="D253" s="21"/>
      <c r="E253" s="21"/>
      <c r="F253" s="21"/>
      <c r="G253" s="21"/>
      <c r="H253" s="21"/>
    </row>
    <row r="254" spans="1:8" ht="18">
      <c r="A254" s="44"/>
      <c r="B254" s="21"/>
      <c r="C254" s="21"/>
      <c r="D254" s="21"/>
      <c r="E254" s="21"/>
      <c r="F254" s="21"/>
      <c r="G254" s="21"/>
      <c r="H254" s="21"/>
    </row>
    <row r="255" spans="1:8" ht="18">
      <c r="A255" s="44"/>
      <c r="B255" s="21"/>
      <c r="C255" s="21"/>
      <c r="D255" s="21"/>
      <c r="E255" s="21"/>
      <c r="F255" s="21"/>
      <c r="G255" s="21"/>
      <c r="H255" s="21"/>
    </row>
    <row r="256" spans="1:8" ht="18">
      <c r="A256" s="44"/>
      <c r="B256" s="21"/>
      <c r="C256" s="21"/>
      <c r="D256" s="21"/>
      <c r="E256" s="21"/>
      <c r="F256" s="21"/>
      <c r="G256" s="21"/>
      <c r="H256" s="21"/>
    </row>
    <row r="257" spans="1:13" ht="18">
      <c r="A257" s="44"/>
      <c r="B257" s="21"/>
      <c r="C257" s="21"/>
      <c r="D257" s="21"/>
      <c r="E257" s="21"/>
      <c r="F257" s="21"/>
      <c r="G257" s="21"/>
      <c r="H257" s="21"/>
    </row>
    <row r="258" spans="1:13" ht="18">
      <c r="A258" s="44"/>
      <c r="B258" s="21"/>
      <c r="C258" s="21"/>
      <c r="D258" s="21"/>
      <c r="E258" s="21"/>
      <c r="F258" s="21"/>
      <c r="G258" s="21"/>
      <c r="H258" s="21"/>
    </row>
    <row r="259" spans="1:13" ht="18">
      <c r="A259" s="44"/>
      <c r="B259" s="21"/>
      <c r="C259" s="21"/>
      <c r="D259" s="21"/>
      <c r="E259" s="21"/>
      <c r="F259" s="21"/>
      <c r="G259" s="21"/>
      <c r="H259" s="21"/>
    </row>
    <row r="260" spans="1:13" ht="20">
      <c r="A260" s="189" t="s">
        <v>212</v>
      </c>
      <c r="B260" s="58"/>
      <c r="C260" s="58"/>
      <c r="D260" s="58"/>
      <c r="E260" s="58"/>
      <c r="F260" s="58"/>
      <c r="G260" s="58"/>
      <c r="H260" s="58"/>
      <c r="I260" s="58"/>
      <c r="J260" s="58"/>
      <c r="K260" s="58"/>
      <c r="L260" s="58"/>
      <c r="M260" s="58"/>
    </row>
    <row r="261" spans="1:13" ht="18">
      <c r="A261" s="161" t="s">
        <v>72</v>
      </c>
      <c r="B261" s="160"/>
      <c r="C261" s="90" t="s">
        <v>7</v>
      </c>
      <c r="D261" s="90" t="s">
        <v>8</v>
      </c>
      <c r="E261" s="90" t="s">
        <v>9</v>
      </c>
      <c r="F261" s="90" t="s">
        <v>10</v>
      </c>
      <c r="G261" s="90" t="s">
        <v>11</v>
      </c>
      <c r="H261" s="90" t="s">
        <v>12</v>
      </c>
      <c r="I261" s="90" t="s">
        <v>13</v>
      </c>
      <c r="J261" s="90" t="s">
        <v>14</v>
      </c>
      <c r="K261" s="90" t="s">
        <v>73</v>
      </c>
      <c r="L261" s="58"/>
      <c r="M261" s="58"/>
    </row>
    <row r="262" spans="1:13">
      <c r="A262" s="76" t="s">
        <v>74</v>
      </c>
      <c r="B262" s="58"/>
      <c r="C262" s="74">
        <v>-20000</v>
      </c>
      <c r="D262" s="74">
        <v>-22000</v>
      </c>
      <c r="E262" s="74">
        <v>-25000</v>
      </c>
      <c r="F262" s="74"/>
      <c r="G262" s="74"/>
      <c r="H262" s="74"/>
      <c r="I262" s="74"/>
      <c r="J262" s="74"/>
      <c r="K262" s="74"/>
      <c r="L262" s="58"/>
      <c r="M262" s="58"/>
    </row>
    <row r="263" spans="1:13">
      <c r="A263" s="76" t="s">
        <v>75</v>
      </c>
      <c r="B263" s="58"/>
      <c r="C263" s="74">
        <v>-5000</v>
      </c>
      <c r="D263" s="74">
        <v>-2000</v>
      </c>
      <c r="E263" s="74">
        <v>-3000</v>
      </c>
      <c r="F263" s="74"/>
      <c r="G263" s="74"/>
      <c r="H263" s="74"/>
      <c r="I263" s="74"/>
      <c r="J263" s="74"/>
      <c r="K263" s="74"/>
      <c r="L263" s="58"/>
      <c r="M263" s="58"/>
    </row>
    <row r="264" spans="1:13">
      <c r="A264" s="76" t="s">
        <v>76</v>
      </c>
      <c r="B264" s="58"/>
      <c r="C264" s="74">
        <v>-2000</v>
      </c>
      <c r="D264" s="74">
        <v>-4000</v>
      </c>
      <c r="E264" s="74">
        <v>-2000</v>
      </c>
      <c r="F264" s="74"/>
      <c r="G264" s="74"/>
      <c r="H264" s="74"/>
      <c r="I264" s="74"/>
      <c r="J264" s="74"/>
      <c r="K264" s="74"/>
      <c r="L264" s="58"/>
      <c r="M264" s="58"/>
    </row>
    <row r="265" spans="1:13" ht="16" thickBot="1">
      <c r="A265" s="175" t="s">
        <v>183</v>
      </c>
      <c r="B265" s="167"/>
      <c r="C265" s="176">
        <f>SUM(C262:C264)</f>
        <v>-27000</v>
      </c>
      <c r="D265" s="176">
        <f>SUM(D262:D264)</f>
        <v>-28000</v>
      </c>
      <c r="E265" s="176">
        <f>SUM(E262:E264)</f>
        <v>-30000</v>
      </c>
      <c r="F265" s="176">
        <f t="shared" ref="F265:K265" si="10">SUM(F262:F264)</f>
        <v>0</v>
      </c>
      <c r="G265" s="176">
        <f t="shared" si="10"/>
        <v>0</v>
      </c>
      <c r="H265" s="176">
        <f t="shared" si="10"/>
        <v>0</v>
      </c>
      <c r="I265" s="176">
        <f t="shared" si="10"/>
        <v>0</v>
      </c>
      <c r="J265" s="176">
        <f t="shared" si="10"/>
        <v>0</v>
      </c>
      <c r="K265" s="176">
        <f t="shared" si="10"/>
        <v>0</v>
      </c>
      <c r="L265" s="58"/>
      <c r="M265" s="86" t="s">
        <v>206</v>
      </c>
    </row>
    <row r="266" spans="1:13" ht="17" thickTop="1" thickBot="1">
      <c r="A266" s="163" t="s">
        <v>83</v>
      </c>
      <c r="B266" s="164"/>
      <c r="C266" s="165">
        <f>C265</f>
        <v>-27000</v>
      </c>
      <c r="D266" s="165">
        <f>D265+C266</f>
        <v>-55000</v>
      </c>
      <c r="E266" s="165">
        <f t="shared" ref="E266" si="11">E265+D266</f>
        <v>-85000</v>
      </c>
      <c r="F266" s="165">
        <f>F265+E266</f>
        <v>-85000</v>
      </c>
      <c r="G266" s="165">
        <f t="shared" ref="G266" si="12">G265+F266</f>
        <v>-85000</v>
      </c>
      <c r="H266" s="165">
        <f t="shared" ref="H266" si="13">H265+G266</f>
        <v>-85000</v>
      </c>
      <c r="I266" s="165">
        <f t="shared" ref="I266" si="14">I265+H266</f>
        <v>-85000</v>
      </c>
      <c r="J266" s="165">
        <f t="shared" ref="J266:K266" si="15">J265+I266</f>
        <v>-85000</v>
      </c>
      <c r="K266" s="165">
        <f t="shared" si="15"/>
        <v>-85000</v>
      </c>
      <c r="L266" s="58"/>
      <c r="M266" s="86" t="s">
        <v>17</v>
      </c>
    </row>
    <row r="267" spans="1:13" ht="1" customHeight="1" thickTop="1">
      <c r="A267" s="166"/>
      <c r="B267" s="167"/>
      <c r="C267" s="167"/>
      <c r="D267" s="167"/>
      <c r="E267" s="167"/>
      <c r="F267" s="167"/>
      <c r="G267" s="167"/>
      <c r="H267" s="167"/>
      <c r="I267" s="167"/>
      <c r="J267" s="167"/>
      <c r="K267" s="167"/>
      <c r="L267" s="58"/>
      <c r="M267" s="86"/>
    </row>
    <row r="268" spans="1:13" ht="18">
      <c r="A268" s="162" t="s">
        <v>252</v>
      </c>
      <c r="B268" s="58"/>
      <c r="C268" s="58"/>
      <c r="D268" s="58"/>
      <c r="E268" s="58"/>
      <c r="F268" s="58"/>
      <c r="G268" s="58"/>
      <c r="H268" s="58"/>
      <c r="I268" s="58"/>
      <c r="J268" s="58"/>
      <c r="K268" s="58"/>
      <c r="L268" s="105" t="s">
        <v>98</v>
      </c>
      <c r="M268" s="86" t="s">
        <v>109</v>
      </c>
    </row>
    <row r="269" spans="1:13">
      <c r="A269" s="76" t="s">
        <v>77</v>
      </c>
      <c r="B269" s="58"/>
      <c r="C269" s="5">
        <v>3</v>
      </c>
      <c r="D269" s="5">
        <v>4</v>
      </c>
      <c r="E269" s="91">
        <v>1</v>
      </c>
      <c r="F269" s="58"/>
      <c r="G269" s="58"/>
      <c r="H269" s="58"/>
      <c r="I269" s="58"/>
      <c r="J269" s="58"/>
      <c r="K269" s="58"/>
      <c r="L269" s="58">
        <f>SUM(C269:J269)</f>
        <v>8</v>
      </c>
      <c r="M269" s="86"/>
    </row>
    <row r="270" spans="1:13">
      <c r="A270" s="76" t="s">
        <v>78</v>
      </c>
      <c r="B270" s="58"/>
      <c r="C270" s="58"/>
      <c r="D270" s="78">
        <v>2</v>
      </c>
      <c r="E270" s="78">
        <v>2</v>
      </c>
      <c r="F270" s="78">
        <v>2</v>
      </c>
      <c r="G270" s="78">
        <v>1</v>
      </c>
      <c r="H270" s="58"/>
      <c r="I270" s="58"/>
      <c r="J270" s="58"/>
      <c r="K270" s="58"/>
      <c r="L270" s="58">
        <f>SUM(C270:J270)</f>
        <v>7</v>
      </c>
      <c r="M270" s="89">
        <f>L270/L269</f>
        <v>0.875</v>
      </c>
    </row>
    <row r="271" spans="1:13" ht="3" customHeight="1">
      <c r="A271" s="76"/>
      <c r="B271" s="58"/>
      <c r="C271" s="58"/>
      <c r="D271" s="58"/>
      <c r="E271" s="58"/>
      <c r="F271" s="58"/>
      <c r="G271" s="58">
        <v>2</v>
      </c>
      <c r="H271" s="58"/>
      <c r="I271" s="58"/>
      <c r="J271" s="58"/>
      <c r="K271" s="58"/>
      <c r="L271" s="58"/>
      <c r="M271" s="86"/>
    </row>
    <row r="272" spans="1:13">
      <c r="A272" s="76" t="s">
        <v>79</v>
      </c>
      <c r="B272" s="58"/>
      <c r="C272" s="58"/>
      <c r="D272" s="5">
        <v>4</v>
      </c>
      <c r="E272" s="5">
        <v>3</v>
      </c>
      <c r="F272" s="58"/>
      <c r="G272" s="58"/>
      <c r="H272" s="58"/>
      <c r="I272" s="58"/>
      <c r="J272" s="58"/>
      <c r="K272" s="58"/>
      <c r="L272" s="58">
        <f>SUM(C272:J272)</f>
        <v>7</v>
      </c>
      <c r="M272" s="86"/>
    </row>
    <row r="273" spans="1:13">
      <c r="A273" s="76" t="s">
        <v>80</v>
      </c>
      <c r="B273" s="58"/>
      <c r="C273" s="58"/>
      <c r="D273" s="58"/>
      <c r="E273" s="58"/>
      <c r="F273" s="78">
        <v>4</v>
      </c>
      <c r="G273" s="78">
        <v>1</v>
      </c>
      <c r="H273" s="78">
        <v>2</v>
      </c>
      <c r="I273" s="58"/>
      <c r="J273" s="58"/>
      <c r="K273" s="58"/>
      <c r="L273" s="58">
        <f>SUM(C273:J273)</f>
        <v>7</v>
      </c>
      <c r="M273" s="89">
        <f>L273/L272</f>
        <v>1</v>
      </c>
    </row>
    <row r="274" spans="1:13" ht="5" customHeight="1">
      <c r="A274" s="76"/>
      <c r="B274" s="58"/>
      <c r="C274" s="58"/>
      <c r="D274" s="58"/>
      <c r="E274" s="58"/>
      <c r="F274" s="78"/>
      <c r="G274" s="78"/>
      <c r="H274" s="78"/>
      <c r="I274" s="58"/>
      <c r="J274" s="58"/>
      <c r="K274" s="58"/>
      <c r="L274" s="58"/>
      <c r="M274" s="86"/>
    </row>
    <row r="275" spans="1:13">
      <c r="A275" s="76" t="s">
        <v>81</v>
      </c>
      <c r="B275" s="58"/>
      <c r="C275" s="58"/>
      <c r="D275" s="58"/>
      <c r="E275" s="5">
        <v>4</v>
      </c>
      <c r="F275" s="5">
        <v>1</v>
      </c>
      <c r="G275" s="5">
        <v>1</v>
      </c>
      <c r="H275" s="58"/>
      <c r="I275" s="58"/>
      <c r="J275" s="58"/>
      <c r="K275" s="58"/>
      <c r="L275" s="58">
        <f>SUM(C275:J275)</f>
        <v>6</v>
      </c>
      <c r="M275" s="86"/>
    </row>
    <row r="276" spans="1:13">
      <c r="A276" s="76" t="s">
        <v>82</v>
      </c>
      <c r="B276" s="58"/>
      <c r="C276" s="58"/>
      <c r="D276" s="58"/>
      <c r="E276" s="58"/>
      <c r="F276" s="78">
        <v>1</v>
      </c>
      <c r="G276" s="78">
        <v>4</v>
      </c>
      <c r="H276" s="78">
        <v>1</v>
      </c>
      <c r="I276" s="58"/>
      <c r="J276" s="78"/>
      <c r="K276" s="58"/>
      <c r="L276" s="58">
        <f>SUM(C276:J276)</f>
        <v>6</v>
      </c>
      <c r="M276" s="89">
        <f>L276/L275</f>
        <v>1</v>
      </c>
    </row>
    <row r="277" spans="1:13" ht="3" customHeight="1" thickBot="1">
      <c r="A277" s="76"/>
      <c r="B277" s="58"/>
      <c r="C277" s="58"/>
      <c r="D277" s="58"/>
      <c r="E277" s="58"/>
      <c r="F277" s="58"/>
      <c r="G277" s="58"/>
      <c r="H277" s="58"/>
      <c r="I277" s="58"/>
      <c r="J277" s="58"/>
      <c r="K277" s="58"/>
      <c r="L277" s="58"/>
      <c r="M277" s="86"/>
    </row>
    <row r="278" spans="1:13" ht="16" thickBot="1">
      <c r="A278" s="169" t="s">
        <v>203</v>
      </c>
      <c r="B278" s="168"/>
      <c r="C278" s="168">
        <f>SUM(C269:C277)</f>
        <v>3</v>
      </c>
      <c r="D278" s="168">
        <f t="shared" ref="D278:K278" si="16">SUM(D269:D277)</f>
        <v>10</v>
      </c>
      <c r="E278" s="168">
        <f t="shared" si="16"/>
        <v>10</v>
      </c>
      <c r="F278" s="168">
        <f t="shared" si="16"/>
        <v>8</v>
      </c>
      <c r="G278" s="168">
        <f t="shared" si="16"/>
        <v>9</v>
      </c>
      <c r="H278" s="168">
        <f t="shared" si="16"/>
        <v>3</v>
      </c>
      <c r="I278" s="168">
        <f t="shared" si="16"/>
        <v>0</v>
      </c>
      <c r="J278" s="168">
        <f t="shared" si="16"/>
        <v>0</v>
      </c>
      <c r="K278" s="168">
        <f t="shared" si="16"/>
        <v>0</v>
      </c>
      <c r="L278" s="168">
        <f>SUM(C278:J278)</f>
        <v>43</v>
      </c>
      <c r="M278" s="86"/>
    </row>
    <row r="279" spans="1:13" ht="18">
      <c r="A279" s="162" t="s">
        <v>162</v>
      </c>
      <c r="B279" s="58"/>
      <c r="C279" s="58"/>
      <c r="D279" s="58"/>
      <c r="E279" s="58"/>
      <c r="F279" s="58"/>
      <c r="G279" s="58"/>
      <c r="H279" s="58"/>
      <c r="I279" s="58"/>
      <c r="J279" s="58"/>
      <c r="K279" s="58"/>
      <c r="L279" s="58"/>
      <c r="M279" s="58"/>
    </row>
    <row r="280" spans="1:13">
      <c r="A280" s="76" t="s">
        <v>89</v>
      </c>
      <c r="B280" s="58"/>
      <c r="C280" s="79">
        <f>C278</f>
        <v>3</v>
      </c>
      <c r="D280" s="79">
        <f>C280*B378</f>
        <v>2.25</v>
      </c>
      <c r="E280" s="80">
        <f>D280*$C$378</f>
        <v>1.7437500000000001</v>
      </c>
      <c r="F280" s="79">
        <f>E280*$D$378</f>
        <v>1.4821875</v>
      </c>
      <c r="G280" s="79">
        <f>F280*$E$378</f>
        <v>1.3339687499999999</v>
      </c>
      <c r="H280" s="79">
        <f>G280*$F$378</f>
        <v>1.067175</v>
      </c>
      <c r="I280" s="79">
        <f>H280*$G$378</f>
        <v>0.85374000000000005</v>
      </c>
      <c r="J280" s="79">
        <f>I280*$H$378</f>
        <v>0.72567900000000007</v>
      </c>
      <c r="K280" s="79">
        <f>J280*$I$378</f>
        <v>0.68939505000000001</v>
      </c>
      <c r="L280" s="58"/>
      <c r="M280" s="58"/>
    </row>
    <row r="281" spans="1:13">
      <c r="A281" s="76" t="s">
        <v>90</v>
      </c>
      <c r="B281" s="58"/>
      <c r="C281" s="81"/>
      <c r="D281" s="58">
        <f>D278</f>
        <v>10</v>
      </c>
      <c r="E281" s="80">
        <f>D281*$B$378</f>
        <v>7.5</v>
      </c>
      <c r="F281" s="79">
        <f>E281*$C$378</f>
        <v>5.8125</v>
      </c>
      <c r="G281" s="79">
        <f>F281*$D$378</f>
        <v>4.9406249999999998</v>
      </c>
      <c r="H281" s="79">
        <f>G281*$E$378</f>
        <v>4.4465624999999998</v>
      </c>
      <c r="I281" s="79">
        <f>H281*$F$378</f>
        <v>3.5572499999999998</v>
      </c>
      <c r="J281" s="79">
        <f>I281*$G$378</f>
        <v>2.8458000000000001</v>
      </c>
      <c r="K281" s="79">
        <f>J281*$H$378</f>
        <v>2.41893</v>
      </c>
      <c r="L281" s="58"/>
      <c r="M281" s="58"/>
    </row>
    <row r="282" spans="1:13">
      <c r="A282" s="76" t="s">
        <v>91</v>
      </c>
      <c r="B282" s="58"/>
      <c r="C282" s="81"/>
      <c r="D282" s="58"/>
      <c r="E282" s="58">
        <f>E278</f>
        <v>10</v>
      </c>
      <c r="F282" s="79">
        <f>E282*$B$378</f>
        <v>7.5</v>
      </c>
      <c r="G282" s="79">
        <f>F282*$C$378</f>
        <v>5.8125</v>
      </c>
      <c r="H282" s="79">
        <f>G282*$D$378</f>
        <v>4.9406249999999998</v>
      </c>
      <c r="I282" s="79">
        <f>H282*$E$378</f>
        <v>4.4465624999999998</v>
      </c>
      <c r="J282" s="79">
        <f>I282*$F$378</f>
        <v>3.5572499999999998</v>
      </c>
      <c r="K282" s="79">
        <f>J282*$G$378</f>
        <v>2.8458000000000001</v>
      </c>
      <c r="L282" s="58"/>
      <c r="M282" s="58"/>
    </row>
    <row r="283" spans="1:13">
      <c r="A283" s="76" t="s">
        <v>92</v>
      </c>
      <c r="B283" s="58"/>
      <c r="C283" s="81"/>
      <c r="D283" s="58"/>
      <c r="E283" s="58"/>
      <c r="F283" s="58">
        <f>F278</f>
        <v>8</v>
      </c>
      <c r="G283" s="79">
        <f>F283*$B$378</f>
        <v>6</v>
      </c>
      <c r="H283" s="79">
        <f>G283*$C$378</f>
        <v>4.6500000000000004</v>
      </c>
      <c r="I283" s="79">
        <f>H283*$D$378</f>
        <v>3.9525000000000001</v>
      </c>
      <c r="J283" s="79">
        <f>I283*$E$378</f>
        <v>3.5572500000000002</v>
      </c>
      <c r="K283" s="79">
        <f>J283*$F$378</f>
        <v>2.8458000000000006</v>
      </c>
      <c r="L283" s="58"/>
      <c r="M283" s="58"/>
    </row>
    <row r="284" spans="1:13">
      <c r="A284" s="76" t="s">
        <v>93</v>
      </c>
      <c r="B284" s="58"/>
      <c r="C284" s="81"/>
      <c r="D284" s="58"/>
      <c r="E284" s="58"/>
      <c r="F284" s="58"/>
      <c r="G284" s="79">
        <f>G278</f>
        <v>9</v>
      </c>
      <c r="H284" s="79">
        <f>G284*$B$378</f>
        <v>6.75</v>
      </c>
      <c r="I284" s="79">
        <f>H284*$C$378</f>
        <v>5.2312500000000002</v>
      </c>
      <c r="J284" s="79">
        <f>I284*$D$378</f>
        <v>4.4465624999999998</v>
      </c>
      <c r="K284" s="79">
        <f>J284*$E$378</f>
        <v>4.0019062500000002</v>
      </c>
      <c r="L284" s="58"/>
      <c r="M284" s="58"/>
    </row>
    <row r="285" spans="1:13">
      <c r="A285" s="76" t="s">
        <v>94</v>
      </c>
      <c r="B285" s="58"/>
      <c r="C285" s="58"/>
      <c r="D285" s="58"/>
      <c r="E285" s="58"/>
      <c r="F285" s="58"/>
      <c r="G285" s="58"/>
      <c r="H285" s="79">
        <f>H278</f>
        <v>3</v>
      </c>
      <c r="I285" s="79">
        <f>H285*$B$378</f>
        <v>2.25</v>
      </c>
      <c r="J285" s="79">
        <f>I285*$C$378</f>
        <v>1.7437500000000001</v>
      </c>
      <c r="K285" s="79">
        <f>J285*$D$378</f>
        <v>1.4821875</v>
      </c>
      <c r="L285" s="58"/>
      <c r="M285" s="58"/>
    </row>
    <row r="286" spans="1:13">
      <c r="A286" s="76" t="s">
        <v>95</v>
      </c>
      <c r="B286" s="58"/>
      <c r="C286" s="58"/>
      <c r="D286" s="58"/>
      <c r="E286" s="58"/>
      <c r="F286" s="58"/>
      <c r="G286" s="58"/>
      <c r="H286" s="58"/>
      <c r="I286" s="79">
        <f>I278</f>
        <v>0</v>
      </c>
      <c r="J286" s="79">
        <f>I286*$B$378</f>
        <v>0</v>
      </c>
      <c r="K286" s="79">
        <f>J286*$C$378</f>
        <v>0</v>
      </c>
      <c r="L286" s="58"/>
      <c r="M286" s="58"/>
    </row>
    <row r="287" spans="1:13">
      <c r="A287" s="76" t="s">
        <v>96</v>
      </c>
      <c r="B287" s="58"/>
      <c r="C287" s="58"/>
      <c r="D287" s="58"/>
      <c r="E287" s="58"/>
      <c r="F287" s="58"/>
      <c r="G287" s="58"/>
      <c r="H287" s="58"/>
      <c r="I287" s="58"/>
      <c r="J287" s="79">
        <f>J278</f>
        <v>0</v>
      </c>
      <c r="K287" s="79">
        <f>J287*$B$378</f>
        <v>0</v>
      </c>
      <c r="L287" s="58"/>
      <c r="M287" s="58"/>
    </row>
    <row r="288" spans="1:13" ht="16" thickBot="1">
      <c r="A288" s="76" t="s">
        <v>265</v>
      </c>
      <c r="B288" s="58"/>
      <c r="C288" s="58"/>
      <c r="D288" s="58"/>
      <c r="E288" s="58"/>
      <c r="F288" s="58"/>
      <c r="G288" s="58"/>
      <c r="H288" s="58"/>
      <c r="I288" s="58"/>
      <c r="J288" s="79"/>
      <c r="K288" s="79">
        <f>K278</f>
        <v>0</v>
      </c>
      <c r="L288" s="58"/>
      <c r="M288" s="58"/>
    </row>
    <row r="289" spans="1:13" ht="17" thickTop="1" thickBot="1">
      <c r="A289" s="169" t="s">
        <v>204</v>
      </c>
      <c r="B289" s="170"/>
      <c r="C289" s="171">
        <f>SUM(C280:C288)</f>
        <v>3</v>
      </c>
      <c r="D289" s="171">
        <f t="shared" ref="D289:K289" si="17">SUM(D280:D288)</f>
        <v>12.25</v>
      </c>
      <c r="E289" s="171">
        <f t="shared" si="17"/>
        <v>19.243749999999999</v>
      </c>
      <c r="F289" s="171">
        <f t="shared" si="17"/>
        <v>22.794687500000002</v>
      </c>
      <c r="G289" s="171">
        <f t="shared" si="17"/>
        <v>27.087093750000001</v>
      </c>
      <c r="H289" s="171">
        <f t="shared" si="17"/>
        <v>24.854362500000001</v>
      </c>
      <c r="I289" s="171">
        <f t="shared" si="17"/>
        <v>20.2913025</v>
      </c>
      <c r="J289" s="171">
        <f t="shared" si="17"/>
        <v>16.876291499999997</v>
      </c>
      <c r="K289" s="171">
        <f t="shared" si="17"/>
        <v>14.2840188</v>
      </c>
      <c r="L289" s="58"/>
      <c r="M289" s="58"/>
    </row>
    <row r="290" spans="1:13">
      <c r="A290" s="76" t="s">
        <v>156</v>
      </c>
      <c r="B290" s="58"/>
      <c r="C290" s="75">
        <f>C289*$E$146</f>
        <v>5408.82</v>
      </c>
      <c r="D290" s="75">
        <f>D289*$E$146</f>
        <v>22086.014999999999</v>
      </c>
      <c r="E290" s="75">
        <f>E289*$E$146</f>
        <v>34695.326625000002</v>
      </c>
      <c r="F290" s="75">
        <f t="shared" ref="F290:K290" si="18">F289*$E$146</f>
        <v>41097.453881250003</v>
      </c>
      <c r="G290" s="75">
        <f t="shared" si="18"/>
        <v>48836.404805625003</v>
      </c>
      <c r="H290" s="75">
        <f t="shared" si="18"/>
        <v>44810.924325750006</v>
      </c>
      <c r="I290" s="75">
        <f t="shared" si="18"/>
        <v>36584.000929350004</v>
      </c>
      <c r="J290" s="75">
        <f t="shared" si="18"/>
        <v>30426.940997009995</v>
      </c>
      <c r="K290" s="173">
        <f t="shared" si="18"/>
        <v>25753.228855272002</v>
      </c>
      <c r="L290" s="174"/>
      <c r="M290" s="58"/>
    </row>
    <row r="291" spans="1:13">
      <c r="A291" s="76" t="s">
        <v>157</v>
      </c>
      <c r="B291" s="58"/>
      <c r="C291" s="75">
        <f>C290</f>
        <v>5408.82</v>
      </c>
      <c r="D291" s="75">
        <f>C291+D290</f>
        <v>27494.834999999999</v>
      </c>
      <c r="E291" s="75">
        <f t="shared" ref="E291" si="19">D291+E290</f>
        <v>62190.161625000001</v>
      </c>
      <c r="F291" s="75">
        <f>E291+F290</f>
        <v>103287.61550625</v>
      </c>
      <c r="G291" s="75">
        <f>F291+G290</f>
        <v>152124.02031187501</v>
      </c>
      <c r="H291" s="75">
        <f t="shared" ref="H291:K291" si="20">G291+H290</f>
        <v>196934.94463762501</v>
      </c>
      <c r="I291" s="293">
        <f t="shared" si="20"/>
        <v>233518.94556697502</v>
      </c>
      <c r="J291" s="293">
        <f t="shared" si="20"/>
        <v>263945.88656398503</v>
      </c>
      <c r="K291" s="75">
        <f t="shared" si="20"/>
        <v>289699.11541925702</v>
      </c>
      <c r="L291" s="174"/>
      <c r="M291" s="58"/>
    </row>
    <row r="292" spans="1:13" ht="16" thickBot="1">
      <c r="A292" s="175" t="s">
        <v>184</v>
      </c>
      <c r="B292" s="177"/>
      <c r="C292" s="178">
        <f>C265+C290</f>
        <v>-21591.18</v>
      </c>
      <c r="D292" s="178">
        <f t="shared" ref="D292:K292" si="21">D265+D290</f>
        <v>-5913.9850000000006</v>
      </c>
      <c r="E292" s="178">
        <f t="shared" si="21"/>
        <v>4695.3266250000015</v>
      </c>
      <c r="F292" s="178">
        <f t="shared" si="21"/>
        <v>41097.453881250003</v>
      </c>
      <c r="G292" s="178">
        <f t="shared" si="21"/>
        <v>48836.404805625003</v>
      </c>
      <c r="H292" s="178">
        <f t="shared" si="21"/>
        <v>44810.924325750006</v>
      </c>
      <c r="I292" s="178">
        <f t="shared" si="21"/>
        <v>36584.000929350004</v>
      </c>
      <c r="J292" s="178">
        <f t="shared" si="21"/>
        <v>30426.940997009995</v>
      </c>
      <c r="K292" s="178">
        <f t="shared" si="21"/>
        <v>25753.228855272002</v>
      </c>
      <c r="L292" s="174"/>
      <c r="M292" s="58"/>
    </row>
    <row r="293" spans="1:13" ht="17" thickTop="1" thickBot="1">
      <c r="A293" s="169" t="s">
        <v>97</v>
      </c>
      <c r="B293" s="170"/>
      <c r="C293" s="172">
        <f>C266+C291</f>
        <v>-21591.18</v>
      </c>
      <c r="D293" s="172">
        <f>D266+D291</f>
        <v>-27505.165000000001</v>
      </c>
      <c r="E293" s="172">
        <f>E266+E291</f>
        <v>-22809.838374999999</v>
      </c>
      <c r="F293" s="172">
        <f t="shared" ref="F293:K293" si="22">F266+F291</f>
        <v>18287.615506250004</v>
      </c>
      <c r="G293" s="172">
        <f t="shared" si="22"/>
        <v>67124.020311875007</v>
      </c>
      <c r="H293" s="172">
        <f t="shared" si="22"/>
        <v>111934.94463762501</v>
      </c>
      <c r="I293" s="294">
        <f t="shared" si="22"/>
        <v>148518.94556697502</v>
      </c>
      <c r="J293" s="172">
        <f t="shared" si="22"/>
        <v>178945.88656398503</v>
      </c>
      <c r="K293" s="179">
        <f t="shared" si="22"/>
        <v>204699.11541925702</v>
      </c>
      <c r="L293" s="158"/>
      <c r="M293" s="58"/>
    </row>
    <row r="294" spans="1:13" ht="5" customHeight="1">
      <c r="A294" s="200"/>
      <c r="B294" s="201"/>
      <c r="C294" s="202"/>
      <c r="D294" s="202"/>
      <c r="E294" s="202"/>
      <c r="F294" s="202"/>
      <c r="G294" s="202"/>
      <c r="H294" s="202"/>
      <c r="I294" s="202"/>
      <c r="J294" s="202"/>
      <c r="K294" s="203"/>
      <c r="L294" s="158"/>
      <c r="M294" s="58"/>
    </row>
    <row r="295" spans="1:13">
      <c r="A295" s="297" t="s">
        <v>266</v>
      </c>
      <c r="B295" s="201"/>
      <c r="C295" s="202"/>
      <c r="D295" s="202"/>
      <c r="E295" s="202"/>
      <c r="F295" s="202"/>
      <c r="G295" s="202"/>
      <c r="H295" s="202"/>
      <c r="I295" s="202"/>
      <c r="J295" s="202"/>
      <c r="K295" s="203"/>
      <c r="L295" s="158"/>
      <c r="M295" s="58"/>
    </row>
    <row r="296" spans="1:13">
      <c r="A296" s="175" t="s">
        <v>183</v>
      </c>
      <c r="B296" s="201"/>
      <c r="C296" s="202">
        <f>C306</f>
        <v>-27000</v>
      </c>
      <c r="D296" s="202">
        <f t="shared" ref="D296:K296" si="23">D306</f>
        <v>-28000</v>
      </c>
      <c r="E296" s="202">
        <f t="shared" si="23"/>
        <v>-30000</v>
      </c>
      <c r="F296" s="202">
        <f t="shared" si="23"/>
        <v>-30000</v>
      </c>
      <c r="G296" s="202">
        <f t="shared" si="23"/>
        <v>-30000</v>
      </c>
      <c r="H296" s="202">
        <f t="shared" si="23"/>
        <v>-30000</v>
      </c>
      <c r="I296" s="202">
        <f t="shared" si="23"/>
        <v>-30000</v>
      </c>
      <c r="J296" s="202">
        <f t="shared" si="23"/>
        <v>-30000</v>
      </c>
      <c r="K296" s="202">
        <f t="shared" si="23"/>
        <v>-30000</v>
      </c>
      <c r="L296" s="158"/>
      <c r="M296" s="58"/>
    </row>
    <row r="297" spans="1:13" ht="16" thickBot="1">
      <c r="A297" s="200" t="s">
        <v>267</v>
      </c>
      <c r="B297" s="201"/>
      <c r="C297" s="298">
        <f>C343</f>
        <v>3</v>
      </c>
      <c r="D297" s="298">
        <f t="shared" ref="D297:K297" si="24">D343</f>
        <v>12.25</v>
      </c>
      <c r="E297" s="298">
        <f t="shared" si="24"/>
        <v>19.243749999999999</v>
      </c>
      <c r="F297" s="298">
        <f t="shared" si="24"/>
        <v>26.794687500000002</v>
      </c>
      <c r="G297" s="298">
        <f t="shared" si="24"/>
        <v>39.087093750000001</v>
      </c>
      <c r="H297" s="298">
        <f t="shared" si="24"/>
        <v>44.929362499999996</v>
      </c>
      <c r="I297" s="298">
        <f t="shared" si="24"/>
        <v>48.748802500000004</v>
      </c>
      <c r="J297" s="298">
        <f t="shared" si="24"/>
        <v>53.245229000000002</v>
      </c>
      <c r="K297" s="298">
        <f t="shared" si="24"/>
        <v>58.199762550000003</v>
      </c>
      <c r="L297" s="158"/>
      <c r="M297" s="58"/>
    </row>
    <row r="298" spans="1:13" ht="17" thickTop="1" thickBot="1">
      <c r="A298" s="200" t="s">
        <v>184</v>
      </c>
      <c r="B298" s="201"/>
      <c r="C298" s="202">
        <f>C346</f>
        <v>-21591.18</v>
      </c>
      <c r="D298" s="202">
        <f t="shared" ref="D298:K298" si="25">D346</f>
        <v>-5913.9850000000006</v>
      </c>
      <c r="E298" s="202">
        <f t="shared" si="25"/>
        <v>4695.3266250000015</v>
      </c>
      <c r="F298" s="202">
        <f t="shared" si="25"/>
        <v>18309.213881250005</v>
      </c>
      <c r="G298" s="202">
        <f t="shared" si="25"/>
        <v>40471.684805625002</v>
      </c>
      <c r="H298" s="202">
        <f t="shared" si="25"/>
        <v>51004.94482574999</v>
      </c>
      <c r="I298" s="202">
        <f t="shared" si="25"/>
        <v>57891.165979350015</v>
      </c>
      <c r="J298" s="202">
        <f t="shared" si="25"/>
        <v>65997.953173260001</v>
      </c>
      <c r="K298" s="302">
        <f t="shared" si="25"/>
        <v>74930.679891897002</v>
      </c>
      <c r="L298" s="158"/>
      <c r="M298" s="58"/>
    </row>
    <row r="299" spans="1:13" ht="16" thickTop="1">
      <c r="A299" s="200"/>
      <c r="B299" s="201"/>
      <c r="C299" s="202">
        <f>C347</f>
        <v>-21591.18</v>
      </c>
      <c r="D299" s="202">
        <f t="shared" ref="D299:K299" si="26">D347</f>
        <v>-27505.165000000001</v>
      </c>
      <c r="E299" s="202">
        <f t="shared" si="26"/>
        <v>-22809.838374999999</v>
      </c>
      <c r="F299" s="202">
        <f t="shared" si="26"/>
        <v>-4500.6244937499869</v>
      </c>
      <c r="G299" s="202">
        <f t="shared" si="26"/>
        <v>35971.060311875015</v>
      </c>
      <c r="H299" s="202">
        <f t="shared" si="26"/>
        <v>86976.005137625005</v>
      </c>
      <c r="I299" s="300">
        <f t="shared" si="26"/>
        <v>144867.17111697502</v>
      </c>
      <c r="J299" s="202">
        <f t="shared" si="26"/>
        <v>210865.12429023499</v>
      </c>
      <c r="K299" s="202">
        <f t="shared" si="26"/>
        <v>285795.80418213201</v>
      </c>
      <c r="L299" s="158"/>
      <c r="M299" s="58"/>
    </row>
    <row r="300" spans="1:13">
      <c r="A300" s="200"/>
      <c r="B300" s="201"/>
      <c r="C300" s="202"/>
      <c r="D300" s="202"/>
      <c r="E300" s="202"/>
      <c r="F300" s="202"/>
      <c r="G300" s="202"/>
      <c r="H300" s="202"/>
      <c r="I300" s="202"/>
      <c r="J300" s="202"/>
      <c r="K300" s="203"/>
      <c r="L300" s="158"/>
      <c r="M300" s="58"/>
    </row>
    <row r="301" spans="1:13" ht="20" hidden="1">
      <c r="A301" s="189" t="s">
        <v>268</v>
      </c>
      <c r="B301" s="58"/>
      <c r="C301" s="58"/>
      <c r="D301" s="58"/>
      <c r="E301" s="58"/>
      <c r="F301" s="58"/>
      <c r="G301" s="58"/>
      <c r="H301" s="58"/>
      <c r="I301" s="58"/>
      <c r="J301" s="58"/>
      <c r="K301" s="58"/>
      <c r="L301" s="58"/>
      <c r="M301" s="58"/>
    </row>
    <row r="302" spans="1:13" ht="18" hidden="1">
      <c r="A302" s="161" t="s">
        <v>72</v>
      </c>
      <c r="B302" s="160"/>
      <c r="C302" s="90" t="s">
        <v>7</v>
      </c>
      <c r="D302" s="90" t="s">
        <v>8</v>
      </c>
      <c r="E302" s="90" t="s">
        <v>9</v>
      </c>
      <c r="F302" s="90" t="s">
        <v>10</v>
      </c>
      <c r="G302" s="90" t="s">
        <v>11</v>
      </c>
      <c r="H302" s="90" t="s">
        <v>12</v>
      </c>
      <c r="I302" s="90" t="s">
        <v>13</v>
      </c>
      <c r="J302" s="90" t="s">
        <v>14</v>
      </c>
      <c r="K302" s="90" t="s">
        <v>73</v>
      </c>
      <c r="L302" s="58"/>
      <c r="M302" s="58"/>
    </row>
    <row r="303" spans="1:13" hidden="1">
      <c r="A303" s="76" t="s">
        <v>74</v>
      </c>
      <c r="B303" s="58"/>
      <c r="C303" s="74">
        <v>-20000</v>
      </c>
      <c r="D303" s="74">
        <v>-22000</v>
      </c>
      <c r="E303" s="74">
        <v>-25000</v>
      </c>
      <c r="F303" s="74">
        <v>-25000</v>
      </c>
      <c r="G303" s="74">
        <v>-25000</v>
      </c>
      <c r="H303" s="74">
        <v>-25000</v>
      </c>
      <c r="I303" s="74">
        <v>-25000</v>
      </c>
      <c r="J303" s="74">
        <v>-25000</v>
      </c>
      <c r="K303" s="74">
        <v>-25000</v>
      </c>
      <c r="L303" s="58"/>
      <c r="M303" s="58"/>
    </row>
    <row r="304" spans="1:13" hidden="1">
      <c r="A304" s="76" t="s">
        <v>75</v>
      </c>
      <c r="B304" s="58"/>
      <c r="C304" s="74">
        <v>-5000</v>
      </c>
      <c r="D304" s="74">
        <v>-2000</v>
      </c>
      <c r="E304" s="74">
        <v>-3000</v>
      </c>
      <c r="F304" s="74">
        <v>-3000</v>
      </c>
      <c r="G304" s="74">
        <v>-3000</v>
      </c>
      <c r="H304" s="74">
        <v>-3000</v>
      </c>
      <c r="I304" s="74">
        <v>-3000</v>
      </c>
      <c r="J304" s="74">
        <v>-3000</v>
      </c>
      <c r="K304" s="74">
        <v>-3000</v>
      </c>
      <c r="L304" s="58"/>
      <c r="M304" s="58"/>
    </row>
    <row r="305" spans="1:13" hidden="1">
      <c r="A305" s="76" t="s">
        <v>76</v>
      </c>
      <c r="B305" s="58"/>
      <c r="C305" s="74">
        <v>-2000</v>
      </c>
      <c r="D305" s="74">
        <v>-4000</v>
      </c>
      <c r="E305" s="74">
        <v>-2000</v>
      </c>
      <c r="F305" s="74">
        <v>-2000</v>
      </c>
      <c r="G305" s="74">
        <v>-2000</v>
      </c>
      <c r="H305" s="74">
        <v>-2000</v>
      </c>
      <c r="I305" s="74">
        <v>-2000</v>
      </c>
      <c r="J305" s="74">
        <v>-2000</v>
      </c>
      <c r="K305" s="74">
        <v>-2000</v>
      </c>
      <c r="L305" s="58"/>
      <c r="M305" s="58"/>
    </row>
    <row r="306" spans="1:13" ht="16" hidden="1" thickBot="1">
      <c r="A306" s="175" t="s">
        <v>183</v>
      </c>
      <c r="B306" s="167"/>
      <c r="C306" s="176">
        <f>SUM(C303:C305)</f>
        <v>-27000</v>
      </c>
      <c r="D306" s="176">
        <f>SUM(D303:D305)</f>
        <v>-28000</v>
      </c>
      <c r="E306" s="176">
        <f>SUM(E303:E305)</f>
        <v>-30000</v>
      </c>
      <c r="F306" s="176">
        <f t="shared" ref="F306:K306" si="27">SUM(F303:F305)</f>
        <v>-30000</v>
      </c>
      <c r="G306" s="176">
        <f t="shared" si="27"/>
        <v>-30000</v>
      </c>
      <c r="H306" s="176">
        <f t="shared" si="27"/>
        <v>-30000</v>
      </c>
      <c r="I306" s="176">
        <f t="shared" si="27"/>
        <v>-30000</v>
      </c>
      <c r="J306" s="176">
        <f t="shared" si="27"/>
        <v>-30000</v>
      </c>
      <c r="K306" s="176">
        <f t="shared" si="27"/>
        <v>-30000</v>
      </c>
      <c r="L306" s="58"/>
      <c r="M306" s="86" t="s">
        <v>206</v>
      </c>
    </row>
    <row r="307" spans="1:13" ht="17" hidden="1" thickTop="1" thickBot="1">
      <c r="A307" s="163" t="s">
        <v>83</v>
      </c>
      <c r="B307" s="164"/>
      <c r="C307" s="165">
        <f>C306</f>
        <v>-27000</v>
      </c>
      <c r="D307" s="165">
        <f>D306+C307</f>
        <v>-55000</v>
      </c>
      <c r="E307" s="165">
        <f t="shared" ref="E307" si="28">E306+D307</f>
        <v>-85000</v>
      </c>
      <c r="F307" s="165">
        <f>F306+E307</f>
        <v>-115000</v>
      </c>
      <c r="G307" s="165">
        <f t="shared" ref="G307" si="29">G306+F307</f>
        <v>-145000</v>
      </c>
      <c r="H307" s="165">
        <f t="shared" ref="H307" si="30">H306+G307</f>
        <v>-175000</v>
      </c>
      <c r="I307" s="165">
        <f t="shared" ref="I307" si="31">I306+H307</f>
        <v>-205000</v>
      </c>
      <c r="J307" s="165">
        <f t="shared" ref="J307" si="32">J306+I307</f>
        <v>-235000</v>
      </c>
      <c r="K307" s="165">
        <f t="shared" ref="K307" si="33">K306+J307</f>
        <v>-265000</v>
      </c>
      <c r="L307" s="58"/>
      <c r="M307" s="86" t="s">
        <v>17</v>
      </c>
    </row>
    <row r="308" spans="1:13" ht="17" hidden="1" thickTop="1" thickBot="1">
      <c r="A308" s="163" t="s">
        <v>97</v>
      </c>
      <c r="B308" s="167"/>
      <c r="C308" s="167"/>
      <c r="D308" s="167"/>
      <c r="E308" s="167"/>
      <c r="F308" s="167"/>
      <c r="G308" s="167"/>
      <c r="H308" s="167"/>
      <c r="I308" s="167"/>
      <c r="J308" s="167"/>
      <c r="K308" s="167"/>
      <c r="L308" s="58"/>
      <c r="M308" s="86"/>
    </row>
    <row r="309" spans="1:13" ht="19" hidden="1" thickTop="1">
      <c r="A309" s="162" t="s">
        <v>252</v>
      </c>
      <c r="B309" s="58"/>
      <c r="C309" s="58"/>
      <c r="D309" s="299"/>
      <c r="E309" s="58"/>
      <c r="F309" s="58"/>
      <c r="G309" s="58"/>
      <c r="H309" s="58"/>
      <c r="I309" s="58"/>
      <c r="J309" s="58"/>
      <c r="K309" s="58"/>
      <c r="L309" s="105" t="s">
        <v>98</v>
      </c>
      <c r="M309" s="86" t="s">
        <v>109</v>
      </c>
    </row>
    <row r="310" spans="1:13" hidden="1">
      <c r="A310" s="76" t="s">
        <v>77</v>
      </c>
      <c r="B310" s="58"/>
      <c r="C310" s="5">
        <v>3</v>
      </c>
      <c r="D310" s="5">
        <v>4</v>
      </c>
      <c r="E310" s="91">
        <v>1</v>
      </c>
      <c r="F310" s="58"/>
      <c r="G310" s="58"/>
      <c r="H310" s="58"/>
      <c r="I310" s="58"/>
      <c r="J310" s="58"/>
      <c r="K310" s="58"/>
      <c r="L310" s="58">
        <f>SUM(C310:J310)</f>
        <v>8</v>
      </c>
      <c r="M310" s="86"/>
    </row>
    <row r="311" spans="1:13" hidden="1">
      <c r="A311" s="76" t="s">
        <v>78</v>
      </c>
      <c r="B311" s="58"/>
      <c r="C311" s="58"/>
      <c r="D311" s="78">
        <v>2</v>
      </c>
      <c r="E311" s="78">
        <v>2</v>
      </c>
      <c r="F311" s="78">
        <v>2</v>
      </c>
      <c r="G311" s="78">
        <v>1</v>
      </c>
      <c r="H311" s="58"/>
      <c r="I311" s="58"/>
      <c r="J311" s="58"/>
      <c r="K311" s="58"/>
      <c r="L311" s="58">
        <f>SUM(C311:J311)</f>
        <v>7</v>
      </c>
      <c r="M311" s="89">
        <f>L311/L310</f>
        <v>0.875</v>
      </c>
    </row>
    <row r="312" spans="1:13" hidden="1">
      <c r="A312" s="76"/>
      <c r="B312" s="58"/>
      <c r="C312" s="58"/>
      <c r="D312" s="58"/>
      <c r="E312" s="58"/>
      <c r="F312" s="58"/>
      <c r="G312" s="58">
        <v>2</v>
      </c>
      <c r="H312" s="58"/>
      <c r="I312" s="58"/>
      <c r="J312" s="58"/>
      <c r="K312" s="58"/>
      <c r="L312" s="58"/>
      <c r="M312" s="86"/>
    </row>
    <row r="313" spans="1:13" hidden="1">
      <c r="A313" s="76" t="s">
        <v>79</v>
      </c>
      <c r="B313" s="58"/>
      <c r="C313" s="58"/>
      <c r="D313" s="5">
        <v>4</v>
      </c>
      <c r="E313" s="5">
        <v>3</v>
      </c>
      <c r="F313" s="58"/>
      <c r="G313" s="58"/>
      <c r="H313" s="58"/>
      <c r="I313" s="58"/>
      <c r="J313" s="58"/>
      <c r="K313" s="58"/>
      <c r="L313" s="58">
        <f>SUM(C313:J313)</f>
        <v>7</v>
      </c>
      <c r="M313" s="86"/>
    </row>
    <row r="314" spans="1:13" hidden="1">
      <c r="A314" s="76" t="s">
        <v>80</v>
      </c>
      <c r="B314" s="58"/>
      <c r="C314" s="58"/>
      <c r="D314" s="58"/>
      <c r="E314" s="58"/>
      <c r="F314" s="78">
        <v>4</v>
      </c>
      <c r="G314" s="78">
        <v>1</v>
      </c>
      <c r="H314" s="78">
        <v>2</v>
      </c>
      <c r="I314" s="58"/>
      <c r="J314" s="58"/>
      <c r="K314" s="58"/>
      <c r="L314" s="58">
        <f>SUM(C314:J314)</f>
        <v>7</v>
      </c>
      <c r="M314" s="89">
        <f>L314/L313</f>
        <v>1</v>
      </c>
    </row>
    <row r="315" spans="1:13" hidden="1">
      <c r="A315" s="76"/>
      <c r="B315" s="58"/>
      <c r="C315" s="58"/>
      <c r="D315" s="58"/>
      <c r="E315" s="58"/>
      <c r="F315" s="78"/>
      <c r="G315" s="78"/>
      <c r="H315" s="78"/>
      <c r="I315" s="58"/>
      <c r="J315" s="58"/>
      <c r="K315" s="58"/>
      <c r="L315" s="58"/>
      <c r="M315" s="86"/>
    </row>
    <row r="316" spans="1:13" hidden="1">
      <c r="A316" s="76" t="s">
        <v>81</v>
      </c>
      <c r="B316" s="58"/>
      <c r="C316" s="58"/>
      <c r="D316" s="58"/>
      <c r="E316" s="5">
        <v>4</v>
      </c>
      <c r="F316" s="5">
        <v>1</v>
      </c>
      <c r="G316" s="5">
        <v>1</v>
      </c>
      <c r="H316" s="58"/>
      <c r="I316" s="58"/>
      <c r="J316" s="58"/>
      <c r="K316" s="58"/>
      <c r="L316" s="58">
        <f>SUM(C316:J316)</f>
        <v>6</v>
      </c>
      <c r="M316" s="86"/>
    </row>
    <row r="317" spans="1:13" hidden="1">
      <c r="A317" s="76" t="s">
        <v>82</v>
      </c>
      <c r="B317" s="58"/>
      <c r="C317" s="58"/>
      <c r="D317" s="58"/>
      <c r="E317" s="58"/>
      <c r="F317" s="78">
        <v>1</v>
      </c>
      <c r="G317" s="78">
        <v>4</v>
      </c>
      <c r="H317" s="78">
        <v>1</v>
      </c>
      <c r="I317" s="58"/>
      <c r="J317" s="78"/>
      <c r="K317" s="58"/>
      <c r="L317" s="58">
        <f>SUM(C317:J317)</f>
        <v>6</v>
      </c>
      <c r="M317" s="89">
        <f>L317/L316</f>
        <v>1</v>
      </c>
    </row>
    <row r="318" spans="1:13" hidden="1">
      <c r="A318" s="76"/>
      <c r="B318" s="58"/>
      <c r="C318" s="58"/>
      <c r="D318" s="58"/>
      <c r="E318" s="58"/>
      <c r="F318" s="78"/>
      <c r="G318" s="78"/>
      <c r="H318" s="78"/>
      <c r="I318" s="58"/>
      <c r="J318" s="78"/>
      <c r="K318" s="58"/>
      <c r="L318" s="58"/>
      <c r="M318" s="89"/>
    </row>
    <row r="319" spans="1:13" hidden="1">
      <c r="A319" s="76" t="s">
        <v>253</v>
      </c>
      <c r="B319" s="58"/>
      <c r="C319" s="58"/>
      <c r="D319" s="58"/>
      <c r="E319" s="58"/>
      <c r="F319" s="295">
        <v>4</v>
      </c>
      <c r="G319" s="295">
        <v>3</v>
      </c>
      <c r="L319" s="58"/>
      <c r="M319" s="89"/>
    </row>
    <row r="320" spans="1:13" hidden="1">
      <c r="A320" s="76" t="s">
        <v>254</v>
      </c>
      <c r="B320" s="58"/>
      <c r="C320" s="58"/>
      <c r="D320" s="58"/>
      <c r="E320" s="58"/>
      <c r="F320" s="78"/>
      <c r="G320" s="78">
        <v>2</v>
      </c>
      <c r="H320" s="78">
        <v>2</v>
      </c>
      <c r="I320" s="58">
        <v>2</v>
      </c>
      <c r="J320" s="78"/>
      <c r="K320" s="58"/>
      <c r="L320" s="58"/>
      <c r="M320" s="89"/>
    </row>
    <row r="321" spans="1:13" hidden="1">
      <c r="A321" s="76" t="s">
        <v>255</v>
      </c>
      <c r="B321" s="58"/>
      <c r="C321" s="58"/>
      <c r="D321" s="58"/>
      <c r="E321" s="58"/>
      <c r="F321" s="78"/>
      <c r="G321" s="295">
        <v>4</v>
      </c>
      <c r="H321" s="295">
        <v>3</v>
      </c>
      <c r="I321" s="58"/>
      <c r="J321" s="78"/>
      <c r="K321" s="58"/>
      <c r="L321" s="58"/>
      <c r="M321" s="89"/>
    </row>
    <row r="322" spans="1:13" hidden="1">
      <c r="A322" s="76" t="s">
        <v>256</v>
      </c>
      <c r="B322" s="58"/>
      <c r="C322" s="58"/>
      <c r="D322" s="58"/>
      <c r="E322" s="58"/>
      <c r="F322" s="78"/>
      <c r="G322" s="78"/>
      <c r="H322" s="78">
        <v>2</v>
      </c>
      <c r="I322" s="58">
        <v>2</v>
      </c>
      <c r="J322" s="78">
        <v>3</v>
      </c>
      <c r="K322" s="58"/>
      <c r="L322" s="58"/>
      <c r="M322" s="89"/>
    </row>
    <row r="323" spans="1:13" hidden="1">
      <c r="A323" s="76" t="s">
        <v>257</v>
      </c>
      <c r="B323" s="58"/>
      <c r="C323" s="58"/>
      <c r="D323" s="58"/>
      <c r="E323" s="58"/>
      <c r="F323" s="78"/>
      <c r="G323" s="78"/>
      <c r="H323" s="295">
        <v>4</v>
      </c>
      <c r="I323" s="296">
        <v>3</v>
      </c>
      <c r="J323" s="78"/>
      <c r="K323" s="58"/>
      <c r="L323" s="58"/>
      <c r="M323" s="89"/>
    </row>
    <row r="324" spans="1:13" hidden="1">
      <c r="A324" s="76" t="s">
        <v>258</v>
      </c>
      <c r="B324" s="58"/>
      <c r="C324" s="58"/>
      <c r="D324" s="58"/>
      <c r="E324" s="58"/>
      <c r="F324" s="78"/>
      <c r="G324" s="78"/>
      <c r="H324" s="78"/>
      <c r="I324" s="58">
        <v>2</v>
      </c>
      <c r="J324" s="78">
        <v>2</v>
      </c>
      <c r="K324" s="58">
        <v>2</v>
      </c>
      <c r="L324" s="58"/>
      <c r="M324" s="89"/>
    </row>
    <row r="325" spans="1:13" hidden="1">
      <c r="A325" s="76" t="s">
        <v>259</v>
      </c>
      <c r="B325" s="58"/>
      <c r="C325" s="58"/>
      <c r="D325" s="58"/>
      <c r="E325" s="58"/>
      <c r="F325" s="78"/>
      <c r="G325" s="78"/>
      <c r="H325" s="78"/>
      <c r="I325" s="296">
        <v>4</v>
      </c>
      <c r="J325" s="295">
        <v>3</v>
      </c>
      <c r="K325" s="58"/>
      <c r="L325" s="58"/>
      <c r="M325" s="89"/>
    </row>
    <row r="326" spans="1:13" hidden="1">
      <c r="A326" s="76" t="s">
        <v>260</v>
      </c>
      <c r="B326" s="58"/>
      <c r="C326" s="58"/>
      <c r="D326" s="58"/>
      <c r="E326" s="58"/>
      <c r="F326" s="78"/>
      <c r="G326" s="78"/>
      <c r="H326" s="78"/>
      <c r="I326" s="58"/>
      <c r="J326" s="78">
        <v>2</v>
      </c>
      <c r="K326" s="58">
        <v>3</v>
      </c>
      <c r="L326" s="58"/>
      <c r="M326" s="89"/>
    </row>
    <row r="327" spans="1:13" hidden="1">
      <c r="A327" s="76" t="s">
        <v>261</v>
      </c>
      <c r="B327" s="58"/>
      <c r="C327" s="58"/>
      <c r="D327" s="58"/>
      <c r="E327" s="58"/>
      <c r="F327" s="78"/>
      <c r="G327" s="78"/>
      <c r="H327" s="78"/>
      <c r="I327" s="58"/>
      <c r="J327" s="295">
        <v>4</v>
      </c>
      <c r="K327" s="296">
        <v>3</v>
      </c>
      <c r="L327" s="58"/>
      <c r="M327" s="89"/>
    </row>
    <row r="328" spans="1:13" hidden="1">
      <c r="A328" s="76" t="s">
        <v>262</v>
      </c>
      <c r="B328" s="58"/>
      <c r="C328" s="58"/>
      <c r="D328" s="58"/>
      <c r="E328" s="58"/>
      <c r="F328" s="78"/>
      <c r="G328" s="78"/>
      <c r="H328" s="78"/>
      <c r="I328" s="58"/>
      <c r="J328" s="78"/>
      <c r="K328" s="58">
        <v>3</v>
      </c>
      <c r="L328" s="58"/>
      <c r="M328" s="89"/>
    </row>
    <row r="329" spans="1:13" hidden="1">
      <c r="A329" s="76" t="s">
        <v>263</v>
      </c>
      <c r="B329" s="58"/>
      <c r="C329" s="58"/>
      <c r="D329" s="58"/>
      <c r="E329" s="58"/>
      <c r="F329" s="78"/>
      <c r="G329" s="78"/>
      <c r="H329" s="78"/>
      <c r="I329" s="58"/>
      <c r="J329" s="78"/>
      <c r="K329" s="296">
        <v>4</v>
      </c>
      <c r="L329" s="296"/>
      <c r="M329" s="89"/>
    </row>
    <row r="330" spans="1:13" hidden="1">
      <c r="A330" s="76" t="s">
        <v>264</v>
      </c>
      <c r="B330" s="58"/>
      <c r="C330" s="58"/>
      <c r="D330" s="58"/>
      <c r="E330" s="58"/>
      <c r="F330" s="78"/>
      <c r="G330" s="78"/>
      <c r="H330" s="78"/>
      <c r="I330" s="58"/>
      <c r="J330" s="78"/>
      <c r="K330" s="58"/>
      <c r="L330" s="58"/>
      <c r="M330" s="89"/>
    </row>
    <row r="331" spans="1:13" ht="16" hidden="1" thickBot="1">
      <c r="A331" s="76"/>
      <c r="B331" s="58"/>
      <c r="C331" s="58"/>
      <c r="D331" s="58"/>
      <c r="E331" s="58"/>
      <c r="F331" s="58"/>
      <c r="G331" s="58"/>
      <c r="H331" s="58"/>
      <c r="I331" s="58"/>
      <c r="J331" s="58"/>
      <c r="K331" s="58"/>
      <c r="L331" s="58"/>
      <c r="M331" s="86"/>
    </row>
    <row r="332" spans="1:13" ht="16" hidden="1" thickBot="1">
      <c r="A332" s="169" t="s">
        <v>203</v>
      </c>
      <c r="B332" s="168"/>
      <c r="C332" s="168">
        <f>SUM(C310:C331)</f>
        <v>3</v>
      </c>
      <c r="D332" s="168">
        <f t="shared" ref="D332:K332" si="34">SUM(D310:D331)</f>
        <v>10</v>
      </c>
      <c r="E332" s="168">
        <f t="shared" si="34"/>
        <v>10</v>
      </c>
      <c r="F332" s="168">
        <f t="shared" si="34"/>
        <v>12</v>
      </c>
      <c r="G332" s="168">
        <f t="shared" si="34"/>
        <v>18</v>
      </c>
      <c r="H332" s="168">
        <f t="shared" si="34"/>
        <v>14</v>
      </c>
      <c r="I332" s="168">
        <f t="shared" si="34"/>
        <v>13</v>
      </c>
      <c r="J332" s="168">
        <f t="shared" si="34"/>
        <v>14</v>
      </c>
      <c r="K332" s="168">
        <f t="shared" si="34"/>
        <v>15</v>
      </c>
      <c r="L332" s="168">
        <f>SUM(C332:K332)</f>
        <v>109</v>
      </c>
      <c r="M332" s="86"/>
    </row>
    <row r="333" spans="1:13" ht="18" hidden="1">
      <c r="A333" s="162" t="s">
        <v>162</v>
      </c>
      <c r="B333" s="58"/>
      <c r="C333" s="58"/>
      <c r="D333" s="58"/>
      <c r="E333" s="58"/>
      <c r="F333" s="58"/>
      <c r="G333" s="58"/>
      <c r="H333" s="58"/>
      <c r="I333" s="58"/>
      <c r="J333" s="58"/>
      <c r="K333" s="58"/>
      <c r="L333" s="58"/>
      <c r="M333" s="58"/>
    </row>
    <row r="334" spans="1:13" hidden="1">
      <c r="A334" s="76" t="s">
        <v>89</v>
      </c>
      <c r="B334" s="58"/>
      <c r="C334" s="79">
        <f>C332</f>
        <v>3</v>
      </c>
      <c r="D334" s="79">
        <f>C334*B378</f>
        <v>2.25</v>
      </c>
      <c r="E334" s="79">
        <f>D334*C378</f>
        <v>1.7437500000000001</v>
      </c>
      <c r="F334" s="79">
        <f>E334*D378</f>
        <v>1.4821875</v>
      </c>
      <c r="G334" s="79">
        <f t="shared" ref="G334:K334" si="35">F334*E378</f>
        <v>1.3339687499999999</v>
      </c>
      <c r="H334" s="79">
        <f t="shared" si="35"/>
        <v>1.067175</v>
      </c>
      <c r="I334" s="79">
        <f t="shared" si="35"/>
        <v>0.85374000000000005</v>
      </c>
      <c r="J334" s="79">
        <f t="shared" si="35"/>
        <v>0.72567900000000007</v>
      </c>
      <c r="K334" s="79">
        <f t="shared" si="35"/>
        <v>0.68939505000000001</v>
      </c>
      <c r="L334" s="58"/>
      <c r="M334" s="58"/>
    </row>
    <row r="335" spans="1:13" hidden="1">
      <c r="A335" s="76" t="s">
        <v>90</v>
      </c>
      <c r="B335" s="58"/>
      <c r="C335" s="81"/>
      <c r="D335" s="58">
        <f>D332</f>
        <v>10</v>
      </c>
      <c r="E335" s="80">
        <f>D335*$B$378</f>
        <v>7.5</v>
      </c>
      <c r="F335" s="79">
        <f>E335*$C$378</f>
        <v>5.8125</v>
      </c>
      <c r="G335" s="79">
        <f>F335*$D$378</f>
        <v>4.9406249999999998</v>
      </c>
      <c r="H335" s="79">
        <f>G335*$E$378</f>
        <v>4.4465624999999998</v>
      </c>
      <c r="I335" s="79">
        <f>H335*$F$378</f>
        <v>3.5572499999999998</v>
      </c>
      <c r="J335" s="79">
        <f>I335*$G$378</f>
        <v>2.8458000000000001</v>
      </c>
      <c r="K335" s="79">
        <f>J335*$H$378</f>
        <v>2.41893</v>
      </c>
      <c r="L335" s="58"/>
      <c r="M335" s="58"/>
    </row>
    <row r="336" spans="1:13" hidden="1">
      <c r="A336" s="76" t="s">
        <v>91</v>
      </c>
      <c r="B336" s="58"/>
      <c r="C336" s="81"/>
      <c r="D336" s="58"/>
      <c r="E336" s="58">
        <f>E332</f>
        <v>10</v>
      </c>
      <c r="F336" s="79">
        <f>E336*$B$378</f>
        <v>7.5</v>
      </c>
      <c r="G336" s="79">
        <f>F336*$C$378</f>
        <v>5.8125</v>
      </c>
      <c r="H336" s="79">
        <f>G336*$D$378</f>
        <v>4.9406249999999998</v>
      </c>
      <c r="I336" s="79">
        <f>H336*$E$378</f>
        <v>4.4465624999999998</v>
      </c>
      <c r="J336" s="79">
        <f>I336*$F$378</f>
        <v>3.5572499999999998</v>
      </c>
      <c r="K336" s="79">
        <f>J336*$G$378</f>
        <v>2.8458000000000001</v>
      </c>
      <c r="L336" s="58"/>
      <c r="M336" s="58"/>
    </row>
    <row r="337" spans="1:13" hidden="1">
      <c r="A337" s="76" t="s">
        <v>92</v>
      </c>
      <c r="B337" s="58"/>
      <c r="C337" s="81"/>
      <c r="D337" s="58"/>
      <c r="E337" s="58"/>
      <c r="F337" s="58">
        <f>F332</f>
        <v>12</v>
      </c>
      <c r="G337" s="79">
        <f>F337*$B$378</f>
        <v>9</v>
      </c>
      <c r="H337" s="79">
        <f>G337*$C$378</f>
        <v>6.9750000000000005</v>
      </c>
      <c r="I337" s="79">
        <f>H337*$D$378</f>
        <v>5.92875</v>
      </c>
      <c r="J337" s="79">
        <f>I337*$E$378</f>
        <v>5.3358749999999997</v>
      </c>
      <c r="K337" s="79">
        <f>J337*$F$378</f>
        <v>4.2686999999999999</v>
      </c>
      <c r="L337" s="58"/>
      <c r="M337" s="58"/>
    </row>
    <row r="338" spans="1:13" hidden="1">
      <c r="A338" s="76" t="s">
        <v>93</v>
      </c>
      <c r="B338" s="58"/>
      <c r="C338" s="81"/>
      <c r="D338" s="58"/>
      <c r="E338" s="58"/>
      <c r="F338" s="58"/>
      <c r="G338" s="79">
        <f>G332</f>
        <v>18</v>
      </c>
      <c r="H338" s="79">
        <f>G338*$B$378</f>
        <v>13.5</v>
      </c>
      <c r="I338" s="79">
        <f>H338*$C$378</f>
        <v>10.4625</v>
      </c>
      <c r="J338" s="79">
        <f>I338*$D$378</f>
        <v>8.8931249999999995</v>
      </c>
      <c r="K338" s="79">
        <f>J338*$E$378</f>
        <v>8.0038125000000004</v>
      </c>
      <c r="L338" s="58"/>
      <c r="M338" s="58"/>
    </row>
    <row r="339" spans="1:13" hidden="1">
      <c r="A339" s="76" t="s">
        <v>94</v>
      </c>
      <c r="B339" s="58"/>
      <c r="C339" s="58"/>
      <c r="D339" s="58"/>
      <c r="E339" s="58"/>
      <c r="F339" s="58"/>
      <c r="G339" s="58"/>
      <c r="H339" s="79">
        <f>H332</f>
        <v>14</v>
      </c>
      <c r="I339" s="79">
        <f>H339*$B$378</f>
        <v>10.5</v>
      </c>
      <c r="J339" s="79">
        <f>I339*$C$378</f>
        <v>8.1375000000000011</v>
      </c>
      <c r="K339" s="79">
        <f>J339*$D$378</f>
        <v>6.916875000000001</v>
      </c>
      <c r="L339" s="58"/>
      <c r="M339" s="58"/>
    </row>
    <row r="340" spans="1:13" hidden="1">
      <c r="A340" s="76" t="s">
        <v>95</v>
      </c>
      <c r="B340" s="58"/>
      <c r="C340" s="58"/>
      <c r="D340" s="58"/>
      <c r="E340" s="58"/>
      <c r="F340" s="58"/>
      <c r="G340" s="58"/>
      <c r="H340" s="58"/>
      <c r="I340" s="79">
        <f>I332</f>
        <v>13</v>
      </c>
      <c r="J340" s="79">
        <f>I340*$B$378</f>
        <v>9.75</v>
      </c>
      <c r="K340" s="79">
        <f>J340*$C$378</f>
        <v>7.5562500000000004</v>
      </c>
      <c r="L340" s="58"/>
      <c r="M340" s="58"/>
    </row>
    <row r="341" spans="1:13" hidden="1">
      <c r="A341" s="76" t="s">
        <v>96</v>
      </c>
      <c r="B341" s="58"/>
      <c r="C341" s="58"/>
      <c r="D341" s="58"/>
      <c r="E341" s="58"/>
      <c r="F341" s="58"/>
      <c r="G341" s="58"/>
      <c r="H341" s="58"/>
      <c r="I341" s="58"/>
      <c r="J341" s="79">
        <f>J332</f>
        <v>14</v>
      </c>
      <c r="K341" s="79">
        <f>J341*$B$378</f>
        <v>10.5</v>
      </c>
      <c r="L341" s="58"/>
      <c r="M341" s="58"/>
    </row>
    <row r="342" spans="1:13" ht="16" hidden="1" thickBot="1">
      <c r="A342" s="76" t="s">
        <v>265</v>
      </c>
      <c r="B342" s="58"/>
      <c r="C342" s="58"/>
      <c r="D342" s="58"/>
      <c r="E342" s="58"/>
      <c r="F342" s="58"/>
      <c r="G342" s="58"/>
      <c r="H342" s="58"/>
      <c r="I342" s="58"/>
      <c r="J342" s="79"/>
      <c r="K342" s="79">
        <f>K332</f>
        <v>15</v>
      </c>
      <c r="L342" s="58"/>
      <c r="M342" s="58"/>
    </row>
    <row r="343" spans="1:13" ht="17" hidden="1" thickTop="1" thickBot="1">
      <c r="A343" s="169" t="s">
        <v>204</v>
      </c>
      <c r="B343" s="170"/>
      <c r="C343" s="171">
        <f>SUM(C334:C342)</f>
        <v>3</v>
      </c>
      <c r="D343" s="171">
        <f t="shared" ref="D343:K343" si="36">SUM(D334:D342)</f>
        <v>12.25</v>
      </c>
      <c r="E343" s="171">
        <f t="shared" si="36"/>
        <v>19.243749999999999</v>
      </c>
      <c r="F343" s="171">
        <f t="shared" si="36"/>
        <v>26.794687500000002</v>
      </c>
      <c r="G343" s="171">
        <f t="shared" si="36"/>
        <v>39.087093750000001</v>
      </c>
      <c r="H343" s="171">
        <f t="shared" si="36"/>
        <v>44.929362499999996</v>
      </c>
      <c r="I343" s="171">
        <f t="shared" si="36"/>
        <v>48.748802500000004</v>
      </c>
      <c r="J343" s="171">
        <f t="shared" si="36"/>
        <v>53.245229000000002</v>
      </c>
      <c r="K343" s="171">
        <f t="shared" si="36"/>
        <v>58.199762550000003</v>
      </c>
      <c r="L343" s="58"/>
      <c r="M343" s="58"/>
    </row>
    <row r="344" spans="1:13" hidden="1">
      <c r="A344" s="76" t="s">
        <v>156</v>
      </c>
      <c r="B344" s="58"/>
      <c r="C344" s="75">
        <f>C343*$E$146</f>
        <v>5408.82</v>
      </c>
      <c r="D344" s="75">
        <f>D343*$E$146</f>
        <v>22086.014999999999</v>
      </c>
      <c r="E344" s="75">
        <f>E343*$E$146</f>
        <v>34695.326625000002</v>
      </c>
      <c r="F344" s="75">
        <f t="shared" ref="F344:K344" si="37">F343*$E$146</f>
        <v>48309.213881250005</v>
      </c>
      <c r="G344" s="75">
        <f t="shared" si="37"/>
        <v>70471.684805625002</v>
      </c>
      <c r="H344" s="75">
        <f t="shared" si="37"/>
        <v>81004.94482574999</v>
      </c>
      <c r="I344" s="75">
        <f t="shared" si="37"/>
        <v>87891.165979350015</v>
      </c>
      <c r="J344" s="75">
        <f t="shared" si="37"/>
        <v>95997.953173260001</v>
      </c>
      <c r="K344" s="173">
        <f t="shared" si="37"/>
        <v>104930.679891897</v>
      </c>
      <c r="L344" s="174"/>
      <c r="M344" s="58"/>
    </row>
    <row r="345" spans="1:13" hidden="1">
      <c r="A345" s="76" t="s">
        <v>157</v>
      </c>
      <c r="B345" s="58"/>
      <c r="C345" s="75">
        <f>C344</f>
        <v>5408.82</v>
      </c>
      <c r="D345" s="75">
        <f>C345+D344</f>
        <v>27494.834999999999</v>
      </c>
      <c r="E345" s="75">
        <f t="shared" ref="E345" si="38">D345+E344</f>
        <v>62190.161625000001</v>
      </c>
      <c r="F345" s="75">
        <f>E345+F344</f>
        <v>110499.37550625001</v>
      </c>
      <c r="G345" s="75">
        <f>F345+G344</f>
        <v>180971.06031187502</v>
      </c>
      <c r="H345" s="75">
        <f t="shared" ref="H345" si="39">G345+H344</f>
        <v>261976.005137625</v>
      </c>
      <c r="I345" s="293">
        <f t="shared" ref="I345" si="40">H345+I344</f>
        <v>349867.17111697502</v>
      </c>
      <c r="J345" s="75">
        <f t="shared" ref="J345" si="41">I345+J344</f>
        <v>445865.12429023499</v>
      </c>
      <c r="K345" s="75">
        <f t="shared" ref="K345" si="42">J345+K344</f>
        <v>550795.80418213201</v>
      </c>
      <c r="L345" s="174"/>
      <c r="M345" s="58"/>
    </row>
    <row r="346" spans="1:13" ht="16" hidden="1" thickBot="1">
      <c r="A346" s="175" t="s">
        <v>184</v>
      </c>
      <c r="B346" s="177"/>
      <c r="C346" s="178">
        <f>C306+C344</f>
        <v>-21591.18</v>
      </c>
      <c r="D346" s="178">
        <f t="shared" ref="D346:K346" si="43">D306+D344</f>
        <v>-5913.9850000000006</v>
      </c>
      <c r="E346" s="178">
        <f t="shared" si="43"/>
        <v>4695.3266250000015</v>
      </c>
      <c r="F346" s="178">
        <f t="shared" si="43"/>
        <v>18309.213881250005</v>
      </c>
      <c r="G346" s="178">
        <f t="shared" si="43"/>
        <v>40471.684805625002</v>
      </c>
      <c r="H346" s="178">
        <f t="shared" si="43"/>
        <v>51004.94482574999</v>
      </c>
      <c r="I346" s="178">
        <f t="shared" si="43"/>
        <v>57891.165979350015</v>
      </c>
      <c r="J346" s="178">
        <f t="shared" si="43"/>
        <v>65997.953173260001</v>
      </c>
      <c r="K346" s="178">
        <f t="shared" si="43"/>
        <v>74930.679891897002</v>
      </c>
      <c r="L346" s="174"/>
      <c r="M346" s="58"/>
    </row>
    <row r="347" spans="1:13" ht="17" hidden="1" thickTop="1" thickBot="1">
      <c r="A347" s="169" t="s">
        <v>97</v>
      </c>
      <c r="B347" s="170"/>
      <c r="C347" s="172">
        <f>C307+C345</f>
        <v>-21591.18</v>
      </c>
      <c r="D347" s="172">
        <f>D307+D345</f>
        <v>-27505.165000000001</v>
      </c>
      <c r="E347" s="172">
        <f>E307+E345</f>
        <v>-22809.838374999999</v>
      </c>
      <c r="F347" s="172">
        <f t="shared" ref="F347:K347" si="44">F307+F345</f>
        <v>-4500.6244937499869</v>
      </c>
      <c r="G347" s="172">
        <f t="shared" si="44"/>
        <v>35971.060311875015</v>
      </c>
      <c r="H347" s="172">
        <f t="shared" si="44"/>
        <v>86976.005137625005</v>
      </c>
      <c r="I347" s="294">
        <f t="shared" si="44"/>
        <v>144867.17111697502</v>
      </c>
      <c r="J347" s="172">
        <f t="shared" si="44"/>
        <v>210865.12429023499</v>
      </c>
      <c r="K347" s="179">
        <f t="shared" si="44"/>
        <v>285795.80418213201</v>
      </c>
      <c r="L347" s="158"/>
      <c r="M347" s="58"/>
    </row>
    <row r="348" spans="1:13">
      <c r="A348" s="200"/>
      <c r="B348" s="201"/>
      <c r="C348" s="202"/>
      <c r="D348" s="202"/>
      <c r="E348" s="202"/>
      <c r="F348" s="202"/>
      <c r="G348" s="202"/>
      <c r="H348" s="202"/>
      <c r="I348" s="300"/>
      <c r="J348" s="202"/>
      <c r="K348" s="203"/>
      <c r="L348" s="158"/>
      <c r="M348" s="58"/>
    </row>
    <row r="349" spans="1:13">
      <c r="A349" s="200"/>
      <c r="B349" s="201"/>
      <c r="C349" s="202"/>
      <c r="D349" s="202"/>
      <c r="E349" s="202"/>
      <c r="F349" s="202"/>
      <c r="G349" s="202"/>
      <c r="H349" s="202"/>
      <c r="I349" s="300"/>
      <c r="J349" s="202"/>
      <c r="K349" s="203"/>
      <c r="L349" s="158"/>
      <c r="M349" s="58"/>
    </row>
    <row r="350" spans="1:13">
      <c r="A350" s="200"/>
      <c r="B350" s="201"/>
      <c r="C350" s="202"/>
      <c r="D350" s="202"/>
      <c r="E350" s="202"/>
      <c r="F350" s="202"/>
      <c r="G350" s="202"/>
      <c r="H350" s="202"/>
      <c r="I350" s="300"/>
      <c r="J350" s="202"/>
      <c r="K350" s="203"/>
      <c r="L350" s="158"/>
      <c r="M350" s="58"/>
    </row>
    <row r="351" spans="1:13">
      <c r="A351" s="200"/>
      <c r="B351" s="201"/>
      <c r="C351" s="202"/>
      <c r="D351" s="202"/>
      <c r="E351" s="202"/>
      <c r="F351" s="202"/>
      <c r="G351" s="202"/>
      <c r="H351" s="202"/>
      <c r="I351" s="300"/>
      <c r="J351" s="202"/>
      <c r="K351" s="203"/>
      <c r="L351" s="158"/>
      <c r="M351" s="58"/>
    </row>
    <row r="352" spans="1:13">
      <c r="A352" s="200"/>
      <c r="B352" s="201"/>
      <c r="C352" s="202"/>
      <c r="D352" s="202"/>
      <c r="E352" s="202"/>
      <c r="F352" s="202"/>
      <c r="G352" s="202"/>
      <c r="H352" s="202"/>
      <c r="I352" s="300"/>
      <c r="J352" s="202"/>
      <c r="K352" s="203"/>
      <c r="L352" s="158"/>
      <c r="M352" s="58"/>
    </row>
    <row r="353" spans="1:13">
      <c r="A353" s="200"/>
      <c r="B353" s="201"/>
      <c r="C353" s="202"/>
      <c r="D353" s="202"/>
      <c r="E353" s="202"/>
      <c r="F353" s="202"/>
      <c r="G353" s="202"/>
      <c r="H353" s="202"/>
      <c r="I353" s="300"/>
      <c r="J353" s="202"/>
      <c r="K353" s="203"/>
      <c r="L353" s="158"/>
      <c r="M353" s="58"/>
    </row>
    <row r="354" spans="1:13">
      <c r="A354" s="200"/>
      <c r="B354" s="201"/>
      <c r="C354" s="202"/>
      <c r="D354" s="202"/>
      <c r="E354" s="202"/>
      <c r="F354" s="202"/>
      <c r="G354" s="202"/>
      <c r="H354" s="202"/>
      <c r="I354" s="300"/>
      <c r="J354" s="202"/>
      <c r="K354" s="203"/>
      <c r="L354" s="158"/>
      <c r="M354" s="58"/>
    </row>
    <row r="355" spans="1:13">
      <c r="A355" s="200"/>
      <c r="B355" s="201"/>
      <c r="C355" s="202"/>
      <c r="D355" s="202"/>
      <c r="E355" s="202"/>
      <c r="F355" s="202"/>
      <c r="G355" s="202"/>
      <c r="H355" s="202"/>
      <c r="I355" s="300"/>
      <c r="J355" s="202"/>
      <c r="K355" s="203"/>
      <c r="L355" s="158"/>
      <c r="M355" s="58"/>
    </row>
    <row r="356" spans="1:13">
      <c r="A356" s="200"/>
      <c r="B356" s="201"/>
      <c r="C356" s="202"/>
      <c r="D356" s="202"/>
      <c r="E356" s="202"/>
      <c r="F356" s="202"/>
      <c r="G356" s="202"/>
      <c r="H356" s="202"/>
      <c r="I356" s="300"/>
      <c r="J356" s="202"/>
      <c r="K356" s="203"/>
      <c r="L356" s="158"/>
      <c r="M356" s="58"/>
    </row>
    <row r="357" spans="1:13">
      <c r="A357" s="200"/>
      <c r="B357" s="201"/>
      <c r="C357" s="202"/>
      <c r="D357" s="202"/>
      <c r="E357" s="202"/>
      <c r="F357" s="202"/>
      <c r="G357" s="202"/>
      <c r="H357" s="202"/>
      <c r="I357" s="202"/>
      <c r="J357" s="202"/>
      <c r="K357" s="203"/>
      <c r="L357" s="158"/>
      <c r="M357" s="58"/>
    </row>
    <row r="358" spans="1:13">
      <c r="A358" s="200"/>
      <c r="B358" s="201"/>
      <c r="C358" s="202"/>
      <c r="D358" s="202"/>
      <c r="E358" s="202"/>
      <c r="F358" s="202"/>
      <c r="G358" s="202"/>
      <c r="H358" s="202"/>
      <c r="I358" s="202"/>
      <c r="J358" s="202"/>
      <c r="K358" s="203"/>
      <c r="L358" s="158"/>
      <c r="M358" s="58"/>
    </row>
    <row r="359" spans="1:13">
      <c r="A359" s="200"/>
      <c r="B359" s="201"/>
      <c r="C359" s="202"/>
      <c r="D359" s="202"/>
      <c r="E359" s="202"/>
      <c r="F359" s="202"/>
      <c r="G359" s="202"/>
      <c r="H359" s="202"/>
      <c r="I359" s="202"/>
      <c r="J359" s="202"/>
      <c r="K359" s="203"/>
      <c r="L359" s="158"/>
      <c r="M359" s="58"/>
    </row>
    <row r="360" spans="1:13">
      <c r="A360" s="200"/>
      <c r="B360" s="201"/>
      <c r="C360" s="202"/>
      <c r="D360" s="202"/>
      <c r="E360" s="202"/>
      <c r="F360" s="202"/>
      <c r="G360" s="202"/>
      <c r="H360" s="202"/>
      <c r="I360" s="202"/>
      <c r="J360" s="202"/>
      <c r="K360" s="203"/>
      <c r="L360" s="158"/>
      <c r="M360" s="58"/>
    </row>
    <row r="361" spans="1:13">
      <c r="A361" s="200"/>
      <c r="B361" s="201"/>
      <c r="C361" s="202"/>
      <c r="D361" s="202"/>
      <c r="E361" s="202"/>
      <c r="F361" s="202"/>
      <c r="G361" s="202"/>
      <c r="H361" s="202"/>
      <c r="I361" s="202"/>
      <c r="J361" s="202"/>
      <c r="K361" s="203"/>
      <c r="L361" s="158"/>
      <c r="M361" s="58"/>
    </row>
    <row r="362" spans="1:13">
      <c r="A362" s="200"/>
      <c r="B362" s="201"/>
      <c r="C362" s="202"/>
      <c r="D362" s="202"/>
      <c r="E362" s="202"/>
      <c r="F362" s="202"/>
      <c r="G362" s="202"/>
      <c r="H362" s="202"/>
      <c r="I362" s="202"/>
      <c r="J362" s="202"/>
      <c r="K362" s="203"/>
      <c r="L362" s="158"/>
      <c r="M362" s="58"/>
    </row>
    <row r="363" spans="1:13">
      <c r="A363" s="200"/>
      <c r="B363" s="201"/>
      <c r="C363" s="202"/>
      <c r="D363" s="202"/>
      <c r="E363" s="202"/>
      <c r="F363" s="202"/>
      <c r="G363" s="202"/>
      <c r="H363" s="202"/>
      <c r="I363" s="202"/>
      <c r="J363" s="202"/>
      <c r="K363" s="203"/>
      <c r="L363" s="158"/>
      <c r="M363" s="58"/>
    </row>
    <row r="364" spans="1:13">
      <c r="A364" s="200"/>
      <c r="B364" s="201"/>
      <c r="C364" s="202"/>
      <c r="D364" s="202"/>
      <c r="E364" s="202"/>
      <c r="F364" s="202"/>
      <c r="G364" s="202"/>
      <c r="H364" s="202"/>
      <c r="I364" s="202"/>
      <c r="J364" s="202"/>
      <c r="K364" s="203"/>
      <c r="L364" s="158"/>
      <c r="M364" s="58"/>
    </row>
    <row r="365" spans="1:13" ht="35" customHeight="1">
      <c r="A365" s="200"/>
      <c r="B365" s="201"/>
      <c r="C365" s="202"/>
      <c r="D365" s="202"/>
      <c r="E365" s="202"/>
      <c r="F365" s="202"/>
      <c r="G365" s="202"/>
      <c r="H365" s="202"/>
      <c r="I365" s="202"/>
      <c r="J365" s="202"/>
      <c r="K365" s="203"/>
      <c r="L365" s="158"/>
      <c r="M365" s="58"/>
    </row>
    <row r="366" spans="1:13">
      <c r="A366" s="200"/>
      <c r="B366" s="201"/>
      <c r="C366" s="202"/>
      <c r="D366" s="202"/>
      <c r="E366" s="202"/>
      <c r="F366" s="202"/>
      <c r="G366" s="202"/>
      <c r="H366" s="202"/>
      <c r="I366" s="202"/>
      <c r="J366" s="202"/>
      <c r="K366" s="203"/>
      <c r="L366" s="158"/>
      <c r="M366" s="58"/>
    </row>
    <row r="367" spans="1:13">
      <c r="A367" s="200"/>
      <c r="B367" s="201"/>
      <c r="C367" s="202"/>
      <c r="D367" s="202"/>
      <c r="E367" s="202"/>
      <c r="F367" s="202"/>
      <c r="G367" s="202"/>
      <c r="H367" s="202"/>
      <c r="I367" s="202"/>
      <c r="J367" s="202"/>
      <c r="K367" s="203"/>
      <c r="L367" s="158"/>
      <c r="M367" s="58"/>
    </row>
    <row r="368" spans="1:13" ht="20">
      <c r="A368" s="189" t="s">
        <v>213</v>
      </c>
      <c r="I368" s="33"/>
    </row>
    <row r="369" spans="1:12" ht="18">
      <c r="A369" s="17" t="s">
        <v>47</v>
      </c>
      <c r="B369" s="20">
        <v>8</v>
      </c>
      <c r="C369" s="20">
        <v>9</v>
      </c>
      <c r="D369" s="20">
        <v>10</v>
      </c>
      <c r="E369" s="20">
        <v>11</v>
      </c>
      <c r="F369" s="20">
        <v>12</v>
      </c>
      <c r="G369" s="20">
        <v>13</v>
      </c>
      <c r="H369" s="20">
        <v>14</v>
      </c>
      <c r="I369" s="20">
        <v>15</v>
      </c>
      <c r="J369" s="20">
        <v>16</v>
      </c>
      <c r="K369" s="27" t="s">
        <v>2</v>
      </c>
    </row>
    <row r="370" spans="1:12" ht="18">
      <c r="A370" t="s">
        <v>42</v>
      </c>
      <c r="B370" s="182">
        <v>45</v>
      </c>
      <c r="C370" s="182">
        <v>50</v>
      </c>
      <c r="D370" s="182">
        <v>55</v>
      </c>
      <c r="E370" s="182">
        <v>50</v>
      </c>
      <c r="F370" s="182">
        <v>55</v>
      </c>
      <c r="G370" s="182">
        <v>50</v>
      </c>
      <c r="H370" s="182">
        <v>45</v>
      </c>
      <c r="I370" s="182">
        <v>40</v>
      </c>
      <c r="J370" s="183">
        <v>38</v>
      </c>
      <c r="K370" s="183">
        <f>SUM(B370:J370)</f>
        <v>428</v>
      </c>
    </row>
    <row r="371" spans="1:12">
      <c r="A371" t="s">
        <v>56</v>
      </c>
      <c r="B371" s="94">
        <v>45</v>
      </c>
      <c r="C371" s="94">
        <f>50-C373</f>
        <v>19.998500000000003</v>
      </c>
      <c r="D371" s="94">
        <f>55-D373</f>
        <v>22.5</v>
      </c>
      <c r="E371" s="94">
        <f>50-E373</f>
        <v>8.75</v>
      </c>
      <c r="F371" s="94">
        <f>55-F373</f>
        <v>15</v>
      </c>
      <c r="G371" s="94">
        <f>50-G373</f>
        <v>6</v>
      </c>
      <c r="H371" s="94">
        <f>45-H373</f>
        <v>5</v>
      </c>
      <c r="I371" s="94">
        <f>40-I373</f>
        <v>1.75</v>
      </c>
      <c r="J371" s="94">
        <v>0</v>
      </c>
      <c r="K371" s="96">
        <f>SUM(B371:J371)</f>
        <v>123.99850000000001</v>
      </c>
    </row>
    <row r="372" spans="1:12" ht="18">
      <c r="A372" t="s">
        <v>43</v>
      </c>
      <c r="B372" s="91"/>
      <c r="C372" s="103">
        <f>B370</f>
        <v>45</v>
      </c>
      <c r="D372" s="103">
        <f t="shared" ref="D372:J372" si="45">C370</f>
        <v>50</v>
      </c>
      <c r="E372" s="103">
        <f t="shared" si="45"/>
        <v>55</v>
      </c>
      <c r="F372" s="103">
        <f>E370</f>
        <v>50</v>
      </c>
      <c r="G372" s="103">
        <f t="shared" si="45"/>
        <v>55</v>
      </c>
      <c r="H372" s="103">
        <f t="shared" si="45"/>
        <v>50</v>
      </c>
      <c r="I372" s="103">
        <f t="shared" si="45"/>
        <v>45</v>
      </c>
      <c r="J372" s="103">
        <f t="shared" si="45"/>
        <v>40</v>
      </c>
      <c r="K372" s="185">
        <f>SUM(B370:I370)</f>
        <v>390</v>
      </c>
      <c r="L372" s="21"/>
    </row>
    <row r="373" spans="1:12">
      <c r="A373" t="s">
        <v>67</v>
      </c>
      <c r="B373" s="95"/>
      <c r="C373" s="184">
        <f t="shared" ref="C373:J373" si="46">(B374*B370)</f>
        <v>30.001499999999997</v>
      </c>
      <c r="D373" s="184">
        <f t="shared" si="46"/>
        <v>32.5</v>
      </c>
      <c r="E373" s="184">
        <f t="shared" si="46"/>
        <v>41.25</v>
      </c>
      <c r="F373" s="184">
        <f t="shared" si="46"/>
        <v>40</v>
      </c>
      <c r="G373" s="184">
        <f t="shared" si="46"/>
        <v>44</v>
      </c>
      <c r="H373" s="184">
        <f t="shared" si="46"/>
        <v>40</v>
      </c>
      <c r="I373" s="184">
        <f t="shared" si="46"/>
        <v>38.25</v>
      </c>
      <c r="J373" s="184">
        <f t="shared" si="46"/>
        <v>38</v>
      </c>
      <c r="K373" s="96">
        <f>SUM(C373:J373)</f>
        <v>304.00149999999996</v>
      </c>
    </row>
    <row r="374" spans="1:12">
      <c r="A374" t="s">
        <v>44</v>
      </c>
      <c r="B374" s="53">
        <v>0.66669999999999996</v>
      </c>
      <c r="C374" s="53">
        <v>0.65</v>
      </c>
      <c r="D374" s="53">
        <v>0.75</v>
      </c>
      <c r="E374" s="53">
        <v>0.8</v>
      </c>
      <c r="F374" s="92">
        <v>0.8</v>
      </c>
      <c r="G374" s="31">
        <v>0.8</v>
      </c>
      <c r="H374" s="31">
        <v>0.85</v>
      </c>
      <c r="I374" s="31">
        <v>0.95</v>
      </c>
      <c r="J374" s="91"/>
      <c r="K374" s="93">
        <f>K373/K372</f>
        <v>0.77949102564102557</v>
      </c>
    </row>
    <row r="375" spans="1:12" ht="29" hidden="1" customHeight="1">
      <c r="A375" s="32" t="s">
        <v>55</v>
      </c>
      <c r="B375" s="53">
        <v>0</v>
      </c>
      <c r="C375" s="53">
        <v>0</v>
      </c>
      <c r="D375" s="53"/>
      <c r="E375" s="53"/>
      <c r="F375" s="21"/>
      <c r="G375" s="21"/>
      <c r="H375" s="21"/>
      <c r="I375" s="21"/>
      <c r="J375" s="21"/>
    </row>
    <row r="376" spans="1:12" ht="18" hidden="1">
      <c r="A376" t="s">
        <v>45</v>
      </c>
      <c r="B376" s="53">
        <f t="shared" ref="B376:J376" si="47">B382+B375</f>
        <v>45</v>
      </c>
      <c r="C376" s="53">
        <f t="shared" si="47"/>
        <v>19.998500000000003</v>
      </c>
      <c r="D376" s="53">
        <f t="shared" si="47"/>
        <v>22.5</v>
      </c>
      <c r="E376" s="53">
        <f t="shared" si="47"/>
        <v>8.75</v>
      </c>
      <c r="F376" s="21">
        <f t="shared" si="47"/>
        <v>15</v>
      </c>
      <c r="G376" s="21">
        <f t="shared" si="47"/>
        <v>6</v>
      </c>
      <c r="H376" s="21">
        <f t="shared" si="47"/>
        <v>5</v>
      </c>
      <c r="I376" s="21">
        <f t="shared" si="47"/>
        <v>1.75</v>
      </c>
      <c r="J376" s="21">
        <f t="shared" si="47"/>
        <v>0</v>
      </c>
      <c r="K376">
        <f>SUM(B376:J376)</f>
        <v>123.99850000000001</v>
      </c>
    </row>
    <row r="377" spans="1:12" ht="20">
      <c r="A377" s="49" t="s">
        <v>68</v>
      </c>
      <c r="B377" s="188">
        <v>0.1</v>
      </c>
      <c r="C377" s="188">
        <v>0.1</v>
      </c>
      <c r="D377" s="188">
        <v>0.1</v>
      </c>
      <c r="E377" s="188">
        <v>0.1</v>
      </c>
      <c r="F377" s="54"/>
      <c r="G377" s="54"/>
      <c r="H377" s="54"/>
      <c r="I377" s="54"/>
      <c r="J377" s="8"/>
      <c r="K377" s="38"/>
    </row>
    <row r="378" spans="1:12">
      <c r="A378" s="49" t="s">
        <v>57</v>
      </c>
      <c r="B378" s="52">
        <v>0.75</v>
      </c>
      <c r="C378" s="52">
        <v>0.77500000000000002</v>
      </c>
      <c r="D378" s="52">
        <f t="shared" ref="D378:I378" si="48">D374+D377</f>
        <v>0.85</v>
      </c>
      <c r="E378" s="52">
        <f t="shared" si="48"/>
        <v>0.9</v>
      </c>
      <c r="F378" s="52">
        <f t="shared" si="48"/>
        <v>0.8</v>
      </c>
      <c r="G378" s="52">
        <f t="shared" si="48"/>
        <v>0.8</v>
      </c>
      <c r="H378" s="52">
        <f t="shared" si="48"/>
        <v>0.85</v>
      </c>
      <c r="I378" s="52">
        <f t="shared" si="48"/>
        <v>0.95</v>
      </c>
      <c r="J378" s="52"/>
      <c r="K378" s="208">
        <f>K381/K372</f>
        <v>0.83205128205128209</v>
      </c>
    </row>
    <row r="379" spans="1:12" ht="18">
      <c r="A379" s="49" t="s">
        <v>43</v>
      </c>
      <c r="J379" s="22"/>
      <c r="K379" s="21"/>
    </row>
    <row r="380" spans="1:12">
      <c r="A380" s="49" t="s">
        <v>66</v>
      </c>
      <c r="C380" s="4">
        <f>C381-C373</f>
        <v>3.7485000000000035</v>
      </c>
      <c r="D380" s="4">
        <f t="shared" ref="D380:K380" si="49">D381-D373</f>
        <v>6.25</v>
      </c>
      <c r="E380" s="4">
        <f t="shared" si="49"/>
        <v>5.5</v>
      </c>
      <c r="F380" s="4">
        <f t="shared" si="49"/>
        <v>5</v>
      </c>
      <c r="G380" s="4">
        <f t="shared" si="49"/>
        <v>0</v>
      </c>
      <c r="H380" s="4">
        <f t="shared" si="49"/>
        <v>0</v>
      </c>
      <c r="I380" s="4">
        <f t="shared" si="49"/>
        <v>0</v>
      </c>
      <c r="J380" s="4">
        <f t="shared" si="49"/>
        <v>0</v>
      </c>
      <c r="K380" s="4">
        <f t="shared" si="49"/>
        <v>20.498500000000035</v>
      </c>
    </row>
    <row r="381" spans="1:12" s="21" customFormat="1" ht="18">
      <c r="A381" s="55" t="s">
        <v>67</v>
      </c>
      <c r="B381" s="51"/>
      <c r="C381" s="56">
        <f>B378*B370</f>
        <v>33.75</v>
      </c>
      <c r="D381" s="56">
        <f t="shared" ref="D381:J381" si="50">C378*C370</f>
        <v>38.75</v>
      </c>
      <c r="E381" s="56">
        <f t="shared" si="50"/>
        <v>46.75</v>
      </c>
      <c r="F381" s="56">
        <f>E378*E370</f>
        <v>45</v>
      </c>
      <c r="G381" s="56">
        <f t="shared" si="50"/>
        <v>44</v>
      </c>
      <c r="H381" s="56">
        <f t="shared" si="50"/>
        <v>40</v>
      </c>
      <c r="I381" s="56">
        <f t="shared" si="50"/>
        <v>38.25</v>
      </c>
      <c r="J381" s="56">
        <f t="shared" si="50"/>
        <v>38</v>
      </c>
      <c r="K381" s="56">
        <f>SUM(B381:J381)</f>
        <v>324.5</v>
      </c>
    </row>
    <row r="382" spans="1:12">
      <c r="A382" s="5" t="s">
        <v>56</v>
      </c>
      <c r="B382" s="186">
        <f t="shared" ref="B382:J382" si="51">B371</f>
        <v>45</v>
      </c>
      <c r="C382" s="186">
        <f t="shared" si="51"/>
        <v>19.998500000000003</v>
      </c>
      <c r="D382" s="186">
        <f t="shared" si="51"/>
        <v>22.5</v>
      </c>
      <c r="E382" s="186">
        <f t="shared" si="51"/>
        <v>8.75</v>
      </c>
      <c r="F382" s="186">
        <f t="shared" si="51"/>
        <v>15</v>
      </c>
      <c r="G382" s="186">
        <f t="shared" si="51"/>
        <v>6</v>
      </c>
      <c r="H382" s="186">
        <f t="shared" si="51"/>
        <v>5</v>
      </c>
      <c r="I382" s="186">
        <f t="shared" si="51"/>
        <v>1.75</v>
      </c>
      <c r="J382" s="186">
        <f t="shared" si="51"/>
        <v>0</v>
      </c>
      <c r="K382" s="186">
        <f>SUM(B382:J382)</f>
        <v>123.99850000000001</v>
      </c>
    </row>
    <row r="383" spans="1:12" ht="18">
      <c r="A383" s="50" t="s">
        <v>34</v>
      </c>
      <c r="B383" s="187">
        <f>SUM(B381:B382)</f>
        <v>45</v>
      </c>
      <c r="C383" s="187">
        <f t="shared" ref="C383:K383" si="52">SUM(C381:C382)</f>
        <v>53.748500000000007</v>
      </c>
      <c r="D383" s="187">
        <f t="shared" si="52"/>
        <v>61.25</v>
      </c>
      <c r="E383" s="187">
        <f t="shared" si="52"/>
        <v>55.5</v>
      </c>
      <c r="F383" s="187">
        <f t="shared" si="52"/>
        <v>60</v>
      </c>
      <c r="G383" s="187">
        <f t="shared" si="52"/>
        <v>50</v>
      </c>
      <c r="H383" s="187">
        <f t="shared" si="52"/>
        <v>45</v>
      </c>
      <c r="I383" s="187">
        <f t="shared" si="52"/>
        <v>40</v>
      </c>
      <c r="J383" s="187">
        <f t="shared" si="52"/>
        <v>38</v>
      </c>
      <c r="K383" s="187">
        <f t="shared" si="52"/>
        <v>448.49850000000004</v>
      </c>
    </row>
    <row r="384" spans="1:12" ht="12" customHeight="1"/>
    <row r="385" spans="1:14" ht="22" customHeight="1">
      <c r="A385" s="77" t="s">
        <v>47</v>
      </c>
      <c r="B385" s="77">
        <f>B369</f>
        <v>8</v>
      </c>
      <c r="C385" s="77">
        <f t="shared" ref="C385:K385" si="53">C369</f>
        <v>9</v>
      </c>
      <c r="D385" s="77">
        <f t="shared" si="53"/>
        <v>10</v>
      </c>
      <c r="E385" s="77">
        <f t="shared" si="53"/>
        <v>11</v>
      </c>
      <c r="F385" s="77">
        <f t="shared" si="53"/>
        <v>12</v>
      </c>
      <c r="G385" s="77">
        <f t="shared" si="53"/>
        <v>13</v>
      </c>
      <c r="H385" s="77">
        <f t="shared" si="53"/>
        <v>14</v>
      </c>
      <c r="I385" s="77">
        <f t="shared" si="53"/>
        <v>15</v>
      </c>
      <c r="J385" s="77">
        <f t="shared" si="53"/>
        <v>16</v>
      </c>
      <c r="K385" s="77" t="str">
        <f t="shared" si="53"/>
        <v>Total</v>
      </c>
      <c r="L385" s="267" t="s">
        <v>110</v>
      </c>
      <c r="M385" s="263"/>
      <c r="N385" s="205" t="s">
        <v>205</v>
      </c>
    </row>
    <row r="386" spans="1:14" ht="18">
      <c r="A386" s="29" t="s">
        <v>61</v>
      </c>
      <c r="C386" s="207">
        <f>K378-K374</f>
        <v>5.2560256410256523E-2</v>
      </c>
      <c r="D386" s="21"/>
      <c r="E386" s="21"/>
      <c r="F386" s="21"/>
      <c r="G386" s="21"/>
      <c r="H386" s="21"/>
      <c r="I386" s="21"/>
      <c r="J386" s="21"/>
      <c r="K386" s="21"/>
      <c r="L386" s="198" t="s">
        <v>99</v>
      </c>
      <c r="M386" s="196" t="s">
        <v>27</v>
      </c>
      <c r="N386" s="204"/>
    </row>
    <row r="387" spans="1:14" ht="18">
      <c r="A387" s="23" t="s">
        <v>54</v>
      </c>
      <c r="B387" s="97">
        <f t="shared" ref="B387:K387" si="54">B370</f>
        <v>45</v>
      </c>
      <c r="C387" s="97">
        <f t="shared" si="54"/>
        <v>50</v>
      </c>
      <c r="D387" s="97">
        <f t="shared" si="54"/>
        <v>55</v>
      </c>
      <c r="E387" s="97">
        <f t="shared" si="54"/>
        <v>50</v>
      </c>
      <c r="F387" s="97">
        <f t="shared" si="54"/>
        <v>55</v>
      </c>
      <c r="G387" s="97">
        <f t="shared" si="54"/>
        <v>50</v>
      </c>
      <c r="H387" s="97">
        <f t="shared" si="54"/>
        <v>45</v>
      </c>
      <c r="I387" s="97">
        <f t="shared" si="54"/>
        <v>40</v>
      </c>
      <c r="J387" s="97">
        <f t="shared" si="54"/>
        <v>38</v>
      </c>
      <c r="K387" s="97">
        <f t="shared" si="54"/>
        <v>428</v>
      </c>
      <c r="L387" s="106"/>
      <c r="M387" s="106" t="s">
        <v>54</v>
      </c>
      <c r="N387" s="197"/>
    </row>
    <row r="388" spans="1:14" ht="18">
      <c r="A388" t="s">
        <v>34</v>
      </c>
      <c r="B388" s="50">
        <f>+B376+B373</f>
        <v>45</v>
      </c>
      <c r="C388" s="50">
        <f t="shared" ref="C388:J388" si="55">(B387*B378)+C376</f>
        <v>53.748500000000007</v>
      </c>
      <c r="D388" s="50">
        <f t="shared" si="55"/>
        <v>61.25</v>
      </c>
      <c r="E388" s="50">
        <f t="shared" si="55"/>
        <v>55.5</v>
      </c>
      <c r="F388" s="50">
        <f t="shared" si="55"/>
        <v>60</v>
      </c>
      <c r="G388" s="50">
        <f t="shared" si="55"/>
        <v>50</v>
      </c>
      <c r="H388" s="50">
        <f t="shared" si="55"/>
        <v>45</v>
      </c>
      <c r="I388" s="50">
        <f t="shared" si="55"/>
        <v>40</v>
      </c>
      <c r="J388" s="50">
        <f t="shared" si="55"/>
        <v>38</v>
      </c>
      <c r="K388" s="50">
        <f t="shared" ref="K388:K396" si="56">SUM(B388:J388)</f>
        <v>448.49850000000004</v>
      </c>
      <c r="L388" s="107">
        <f>K388-$K$387</f>
        <v>20.498500000000035</v>
      </c>
      <c r="M388" s="108">
        <f>K388/$K$387-1</f>
        <v>4.7893691588785092E-2</v>
      </c>
      <c r="N388" s="109">
        <f t="shared" ref="N388:N396" si="57">$K$371</f>
        <v>123.99850000000001</v>
      </c>
    </row>
    <row r="389" spans="1:14" ht="18">
      <c r="A389" t="s">
        <v>35</v>
      </c>
      <c r="B389" s="50">
        <f>$B$388</f>
        <v>45</v>
      </c>
      <c r="C389" s="50">
        <f t="shared" ref="C389:C396" si="58">(B388*$B$378)+C$376</f>
        <v>53.748500000000007</v>
      </c>
      <c r="D389" s="50">
        <f t="shared" ref="D389:D396" si="59">(C388*$C$378)+D$376</f>
        <v>64.155087500000008</v>
      </c>
      <c r="E389" s="50">
        <f t="shared" ref="E389:E396" si="60">(D388*$D$378)+E$376</f>
        <v>60.8125</v>
      </c>
      <c r="F389" s="50">
        <f t="shared" ref="F389:F396" si="61">(E388*$E$378)+F$376</f>
        <v>64.95</v>
      </c>
      <c r="G389" s="50">
        <f t="shared" ref="G389:G396" si="62">(F388*$F$378)+G$376</f>
        <v>54</v>
      </c>
      <c r="H389" s="50">
        <f t="shared" ref="H389:H396" si="63">(G388*$G$378)+H$376</f>
        <v>45</v>
      </c>
      <c r="I389" s="50">
        <f t="shared" ref="I389:I396" si="64">(H388*$H$378)+I$376</f>
        <v>40</v>
      </c>
      <c r="J389" s="50">
        <f t="shared" ref="J389:J396" si="65">(I388*$I$378)+J$376</f>
        <v>38</v>
      </c>
      <c r="K389" s="50">
        <f t="shared" si="56"/>
        <v>465.6660875</v>
      </c>
      <c r="L389" s="107">
        <f t="shared" ref="L389:L396" si="66">K389-$K$387</f>
        <v>37.666087500000003</v>
      </c>
      <c r="M389" s="108">
        <f t="shared" ref="M389:M396" si="67">K389/$K$387-1</f>
        <v>8.8004877336448573E-2</v>
      </c>
      <c r="N389" s="109">
        <f t="shared" si="57"/>
        <v>123.99850000000001</v>
      </c>
    </row>
    <row r="390" spans="1:14" ht="18">
      <c r="A390" t="s">
        <v>36</v>
      </c>
      <c r="B390" s="50">
        <f t="shared" ref="B390:B396" si="68">$B$388</f>
        <v>45</v>
      </c>
      <c r="C390" s="50">
        <f t="shared" si="58"/>
        <v>53.748500000000007</v>
      </c>
      <c r="D390" s="50">
        <f t="shared" si="59"/>
        <v>64.155087500000008</v>
      </c>
      <c r="E390" s="50">
        <f t="shared" si="60"/>
        <v>63.281824375000006</v>
      </c>
      <c r="F390" s="50">
        <f t="shared" si="61"/>
        <v>69.731250000000003</v>
      </c>
      <c r="G390" s="50">
        <f t="shared" si="62"/>
        <v>57.960000000000008</v>
      </c>
      <c r="H390" s="50">
        <f t="shared" si="63"/>
        <v>48.2</v>
      </c>
      <c r="I390" s="50">
        <f t="shared" si="64"/>
        <v>40</v>
      </c>
      <c r="J390" s="50">
        <f t="shared" si="65"/>
        <v>38</v>
      </c>
      <c r="K390" s="50">
        <f t="shared" si="56"/>
        <v>480.07666187500007</v>
      </c>
      <c r="L390" s="107">
        <f t="shared" si="66"/>
        <v>52.07666187500007</v>
      </c>
      <c r="M390" s="108">
        <f t="shared" si="67"/>
        <v>0.12167444363317781</v>
      </c>
      <c r="N390" s="109">
        <f t="shared" si="57"/>
        <v>123.99850000000001</v>
      </c>
    </row>
    <row r="391" spans="1:14" ht="19" thickBot="1">
      <c r="A391" t="s">
        <v>37</v>
      </c>
      <c r="B391" s="50">
        <f t="shared" si="68"/>
        <v>45</v>
      </c>
      <c r="C391" s="50">
        <f t="shared" si="58"/>
        <v>53.748500000000007</v>
      </c>
      <c r="D391" s="50">
        <f t="shared" si="59"/>
        <v>64.155087500000008</v>
      </c>
      <c r="E391" s="50">
        <f t="shared" si="60"/>
        <v>63.281824375000006</v>
      </c>
      <c r="F391" s="50">
        <f t="shared" si="61"/>
        <v>71.953641937500009</v>
      </c>
      <c r="G391" s="50">
        <f t="shared" si="62"/>
        <v>61.785000000000004</v>
      </c>
      <c r="H391" s="50">
        <f t="shared" si="63"/>
        <v>51.368000000000009</v>
      </c>
      <c r="I391" s="50">
        <f t="shared" si="64"/>
        <v>42.72</v>
      </c>
      <c r="J391" s="50">
        <f t="shared" si="65"/>
        <v>38</v>
      </c>
      <c r="K391" s="50">
        <f t="shared" si="56"/>
        <v>492.01205381250008</v>
      </c>
      <c r="L391" s="107">
        <f t="shared" si="66"/>
        <v>64.012053812500085</v>
      </c>
      <c r="M391" s="108">
        <f t="shared" si="67"/>
        <v>0.14956087339369173</v>
      </c>
      <c r="N391" s="109">
        <f t="shared" si="57"/>
        <v>123.99850000000001</v>
      </c>
    </row>
    <row r="392" spans="1:14" ht="20" thickTop="1" thickBot="1">
      <c r="A392" t="s">
        <v>38</v>
      </c>
      <c r="B392" s="50">
        <f t="shared" si="68"/>
        <v>45</v>
      </c>
      <c r="C392" s="50">
        <f t="shared" si="58"/>
        <v>53.748500000000007</v>
      </c>
      <c r="D392" s="50">
        <f t="shared" si="59"/>
        <v>64.155087500000008</v>
      </c>
      <c r="E392" s="50">
        <f t="shared" si="60"/>
        <v>63.281824375000006</v>
      </c>
      <c r="F392" s="50">
        <f t="shared" si="61"/>
        <v>71.953641937500009</v>
      </c>
      <c r="G392" s="50">
        <f t="shared" si="62"/>
        <v>63.562913550000012</v>
      </c>
      <c r="H392" s="50">
        <f t="shared" si="63"/>
        <v>54.428000000000004</v>
      </c>
      <c r="I392" s="50">
        <f t="shared" si="64"/>
        <v>45.412800000000004</v>
      </c>
      <c r="J392" s="50">
        <f t="shared" si="65"/>
        <v>40.583999999999996</v>
      </c>
      <c r="K392" s="50">
        <f t="shared" si="56"/>
        <v>502.12676736250006</v>
      </c>
      <c r="L392" s="241">
        <f t="shared" si="66"/>
        <v>74.126767362500061</v>
      </c>
      <c r="M392" s="242">
        <f t="shared" si="67"/>
        <v>0.17319338168808418</v>
      </c>
      <c r="N392" s="243">
        <f t="shared" si="57"/>
        <v>123.99850000000001</v>
      </c>
    </row>
    <row r="393" spans="1:14" ht="19" thickTop="1">
      <c r="A393" t="s">
        <v>39</v>
      </c>
      <c r="B393" s="50">
        <f t="shared" si="68"/>
        <v>45</v>
      </c>
      <c r="C393" s="50">
        <f t="shared" si="58"/>
        <v>53.748500000000007</v>
      </c>
      <c r="D393" s="50">
        <f t="shared" si="59"/>
        <v>64.155087500000008</v>
      </c>
      <c r="E393" s="50">
        <f t="shared" si="60"/>
        <v>63.281824375000006</v>
      </c>
      <c r="F393" s="50">
        <f t="shared" si="61"/>
        <v>71.953641937500009</v>
      </c>
      <c r="G393" s="50">
        <f t="shared" si="62"/>
        <v>63.562913550000012</v>
      </c>
      <c r="H393" s="50">
        <f t="shared" si="63"/>
        <v>55.850330840000012</v>
      </c>
      <c r="I393" s="50">
        <f t="shared" si="64"/>
        <v>48.013800000000003</v>
      </c>
      <c r="J393" s="50">
        <f t="shared" si="65"/>
        <v>43.142160000000004</v>
      </c>
      <c r="K393" s="50">
        <f t="shared" si="56"/>
        <v>508.70825820250008</v>
      </c>
      <c r="L393" s="107">
        <f t="shared" si="66"/>
        <v>80.708258202500076</v>
      </c>
      <c r="M393" s="108">
        <f t="shared" si="67"/>
        <v>0.1885706967348133</v>
      </c>
      <c r="N393" s="109">
        <f t="shared" si="57"/>
        <v>123.99850000000001</v>
      </c>
    </row>
    <row r="394" spans="1:14" ht="18">
      <c r="A394" t="s">
        <v>40</v>
      </c>
      <c r="B394" s="50">
        <f t="shared" si="68"/>
        <v>45</v>
      </c>
      <c r="C394" s="50">
        <f t="shared" si="58"/>
        <v>53.748500000000007</v>
      </c>
      <c r="D394" s="50">
        <f t="shared" si="59"/>
        <v>64.155087500000008</v>
      </c>
      <c r="E394" s="50">
        <f t="shared" si="60"/>
        <v>63.281824375000006</v>
      </c>
      <c r="F394" s="50">
        <f t="shared" si="61"/>
        <v>71.953641937500009</v>
      </c>
      <c r="G394" s="50">
        <f t="shared" si="62"/>
        <v>63.562913550000012</v>
      </c>
      <c r="H394" s="50">
        <f t="shared" si="63"/>
        <v>55.850330840000012</v>
      </c>
      <c r="I394" s="50">
        <f t="shared" si="64"/>
        <v>49.222781214000008</v>
      </c>
      <c r="J394" s="50">
        <f t="shared" si="65"/>
        <v>45.613109999999999</v>
      </c>
      <c r="K394" s="50">
        <f t="shared" si="56"/>
        <v>512.38818941650004</v>
      </c>
      <c r="L394" s="107">
        <f t="shared" si="66"/>
        <v>84.38818941650004</v>
      </c>
      <c r="M394" s="108">
        <f t="shared" si="67"/>
        <v>0.19716866686098133</v>
      </c>
      <c r="N394" s="109">
        <f t="shared" si="57"/>
        <v>123.99850000000001</v>
      </c>
    </row>
    <row r="395" spans="1:14" ht="18">
      <c r="A395" t="s">
        <v>41</v>
      </c>
      <c r="B395" s="50">
        <f t="shared" si="68"/>
        <v>45</v>
      </c>
      <c r="C395" s="50">
        <f t="shared" si="58"/>
        <v>53.748500000000007</v>
      </c>
      <c r="D395" s="50">
        <f t="shared" si="59"/>
        <v>64.155087500000008</v>
      </c>
      <c r="E395" s="50">
        <f t="shared" si="60"/>
        <v>63.281824375000006</v>
      </c>
      <c r="F395" s="50">
        <f t="shared" si="61"/>
        <v>71.953641937500009</v>
      </c>
      <c r="G395" s="50">
        <f t="shared" si="62"/>
        <v>63.562913550000012</v>
      </c>
      <c r="H395" s="50">
        <f t="shared" si="63"/>
        <v>55.850330840000012</v>
      </c>
      <c r="I395" s="50">
        <f t="shared" si="64"/>
        <v>49.222781214000008</v>
      </c>
      <c r="J395" s="50">
        <f t="shared" si="65"/>
        <v>46.761642153300002</v>
      </c>
      <c r="K395" s="50">
        <f t="shared" si="56"/>
        <v>513.53672156980008</v>
      </c>
      <c r="L395" s="107">
        <f t="shared" si="66"/>
        <v>85.536721569800079</v>
      </c>
      <c r="M395" s="108">
        <f t="shared" si="67"/>
        <v>0.19985215320046756</v>
      </c>
      <c r="N395" s="109">
        <f t="shared" si="57"/>
        <v>123.99850000000001</v>
      </c>
    </row>
    <row r="396" spans="1:14" ht="18">
      <c r="A396" t="s">
        <v>46</v>
      </c>
      <c r="B396" s="50">
        <f t="shared" si="68"/>
        <v>45</v>
      </c>
      <c r="C396" s="50">
        <f t="shared" si="58"/>
        <v>53.748500000000007</v>
      </c>
      <c r="D396" s="50">
        <f t="shared" si="59"/>
        <v>64.155087500000008</v>
      </c>
      <c r="E396" s="50">
        <f t="shared" si="60"/>
        <v>63.281824375000006</v>
      </c>
      <c r="F396" s="50">
        <f t="shared" si="61"/>
        <v>71.953641937500009</v>
      </c>
      <c r="G396" s="50">
        <f t="shared" si="62"/>
        <v>63.562913550000012</v>
      </c>
      <c r="H396" s="50">
        <f t="shared" si="63"/>
        <v>55.850330840000012</v>
      </c>
      <c r="I396" s="50">
        <f t="shared" si="64"/>
        <v>49.222781214000008</v>
      </c>
      <c r="J396" s="50">
        <f t="shared" si="65"/>
        <v>46.761642153300002</v>
      </c>
      <c r="K396" s="50">
        <f t="shared" si="56"/>
        <v>513.53672156980008</v>
      </c>
      <c r="L396" s="107">
        <f t="shared" si="66"/>
        <v>85.536721569800079</v>
      </c>
      <c r="M396" s="108">
        <f t="shared" si="67"/>
        <v>0.19985215320046756</v>
      </c>
      <c r="N396" s="109">
        <f t="shared" si="57"/>
        <v>123.99850000000001</v>
      </c>
    </row>
    <row r="397" spans="1:14" ht="18">
      <c r="B397" s="50"/>
      <c r="C397" s="50"/>
      <c r="D397" s="50"/>
      <c r="E397" s="50"/>
      <c r="F397" s="50"/>
      <c r="G397" s="50"/>
      <c r="H397" s="50"/>
      <c r="I397" s="50"/>
      <c r="J397" s="50"/>
      <c r="K397" s="50"/>
    </row>
    <row r="398" spans="1:14" ht="18">
      <c r="B398" s="50"/>
      <c r="C398" s="50"/>
      <c r="D398" s="50"/>
      <c r="E398" s="50"/>
      <c r="F398" s="50"/>
      <c r="G398" s="50"/>
      <c r="H398" s="50"/>
      <c r="I398" s="50"/>
      <c r="J398" s="50"/>
      <c r="K398" s="50"/>
    </row>
    <row r="399" spans="1:14" ht="18">
      <c r="B399" s="50"/>
      <c r="C399" s="50"/>
      <c r="D399" s="50"/>
      <c r="E399" s="50"/>
      <c r="F399" s="50"/>
      <c r="G399" s="50"/>
      <c r="H399" s="50"/>
      <c r="I399" s="50"/>
      <c r="J399" s="50"/>
      <c r="K399" s="50"/>
    </row>
    <row r="400" spans="1:14" ht="18">
      <c r="B400" s="50"/>
      <c r="C400" s="50"/>
      <c r="D400" s="50"/>
      <c r="E400" s="50"/>
      <c r="F400" s="50"/>
      <c r="G400" s="50"/>
      <c r="H400" s="50"/>
      <c r="I400" s="50"/>
      <c r="J400" s="50"/>
      <c r="K400" s="50"/>
    </row>
    <row r="401" spans="2:11" ht="18">
      <c r="B401" s="50"/>
      <c r="C401" s="50"/>
      <c r="D401" s="50"/>
      <c r="E401" s="50"/>
      <c r="F401" s="50"/>
      <c r="G401" s="50"/>
      <c r="H401" s="50"/>
      <c r="I401" s="50"/>
      <c r="J401" s="50"/>
      <c r="K401" s="50"/>
    </row>
    <row r="402" spans="2:11" ht="18">
      <c r="B402" s="50"/>
      <c r="C402" s="50"/>
      <c r="D402" s="50"/>
      <c r="E402" s="50"/>
      <c r="F402" s="50"/>
      <c r="G402" s="50"/>
      <c r="H402" s="50"/>
      <c r="I402" s="50"/>
      <c r="J402" s="50"/>
      <c r="K402" s="50"/>
    </row>
    <row r="403" spans="2:11" ht="18">
      <c r="B403" s="50"/>
      <c r="C403" s="50"/>
      <c r="D403" s="50"/>
      <c r="E403" s="50"/>
      <c r="F403" s="50"/>
      <c r="G403" s="50"/>
      <c r="H403" s="50"/>
      <c r="I403" s="50"/>
      <c r="J403" s="50"/>
      <c r="K403" s="50"/>
    </row>
    <row r="404" spans="2:11" ht="18">
      <c r="B404" s="50"/>
      <c r="C404" s="50"/>
      <c r="D404" s="50"/>
      <c r="E404" s="50"/>
      <c r="F404" s="50"/>
      <c r="G404" s="50"/>
      <c r="H404" s="50"/>
      <c r="I404" s="50"/>
      <c r="J404" s="50"/>
      <c r="K404" s="50"/>
    </row>
    <row r="405" spans="2:11" ht="18">
      <c r="B405" s="50"/>
      <c r="C405" s="50"/>
      <c r="D405" s="50"/>
      <c r="E405" s="50"/>
      <c r="F405" s="50"/>
      <c r="G405" s="50"/>
      <c r="H405" s="50"/>
      <c r="I405" s="50"/>
      <c r="J405" s="50"/>
      <c r="K405" s="50"/>
    </row>
    <row r="406" spans="2:11" ht="18">
      <c r="B406" s="50"/>
      <c r="C406" s="50"/>
      <c r="D406" s="50"/>
      <c r="E406" s="50"/>
      <c r="F406" s="50"/>
      <c r="G406" s="50"/>
      <c r="H406" s="50"/>
      <c r="I406" s="50"/>
      <c r="J406" s="50"/>
      <c r="K406" s="50"/>
    </row>
    <row r="407" spans="2:11" ht="18">
      <c r="B407" s="50"/>
      <c r="C407" s="50"/>
      <c r="D407" s="50"/>
      <c r="E407" s="50"/>
      <c r="F407" s="50"/>
      <c r="G407" s="50"/>
      <c r="H407" s="50"/>
      <c r="I407" s="50"/>
      <c r="J407" s="50"/>
      <c r="K407" s="50"/>
    </row>
    <row r="408" spans="2:11" ht="18">
      <c r="B408" s="50"/>
      <c r="C408" s="50"/>
      <c r="D408" s="50"/>
      <c r="E408" s="50"/>
      <c r="F408" s="50"/>
      <c r="G408" s="50"/>
      <c r="H408" s="50"/>
      <c r="I408" s="50"/>
      <c r="J408" s="50"/>
      <c r="K408" s="50"/>
    </row>
    <row r="409" spans="2:11" ht="18">
      <c r="B409" s="50"/>
      <c r="C409" s="50"/>
      <c r="D409" s="50"/>
      <c r="E409" s="50"/>
      <c r="F409" s="50"/>
      <c r="G409" s="50"/>
      <c r="H409" s="50"/>
      <c r="I409" s="50"/>
      <c r="J409" s="50"/>
      <c r="K409" s="50"/>
    </row>
    <row r="410" spans="2:11" ht="18">
      <c r="B410" s="50"/>
      <c r="C410" s="50"/>
      <c r="D410" s="50"/>
      <c r="E410" s="50"/>
      <c r="F410" s="50"/>
      <c r="G410" s="50"/>
      <c r="H410" s="50"/>
      <c r="I410" s="50"/>
      <c r="J410" s="50"/>
      <c r="K410" s="50"/>
    </row>
    <row r="411" spans="2:11" ht="18">
      <c r="B411" s="50"/>
      <c r="C411" s="50"/>
      <c r="D411" s="50"/>
      <c r="E411" s="50"/>
      <c r="F411" s="50"/>
      <c r="G411" s="50"/>
      <c r="H411" s="50"/>
      <c r="I411" s="50"/>
      <c r="J411" s="50"/>
      <c r="K411" s="50"/>
    </row>
    <row r="412" spans="2:11" ht="18">
      <c r="B412" s="50"/>
      <c r="C412" s="50"/>
      <c r="D412" s="50"/>
      <c r="E412" s="50"/>
      <c r="F412" s="50"/>
      <c r="G412" s="50"/>
      <c r="H412" s="50"/>
      <c r="I412" s="50"/>
      <c r="J412" s="50"/>
      <c r="K412" s="50"/>
    </row>
    <row r="413" spans="2:11" ht="18">
      <c r="B413" s="50"/>
      <c r="C413" s="50"/>
      <c r="D413" s="50"/>
      <c r="E413" s="50"/>
      <c r="F413" s="50"/>
      <c r="G413" s="50"/>
      <c r="H413" s="50"/>
      <c r="I413" s="50"/>
      <c r="J413" s="50"/>
      <c r="K413" s="50"/>
    </row>
    <row r="414" spans="2:11" ht="18">
      <c r="B414" s="50"/>
      <c r="C414" s="50"/>
      <c r="D414" s="50"/>
      <c r="E414" s="50"/>
      <c r="F414" s="50"/>
      <c r="G414" s="50"/>
      <c r="H414" s="50"/>
      <c r="I414" s="50"/>
      <c r="J414" s="50"/>
      <c r="K414" s="50"/>
    </row>
    <row r="415" spans="2:11" ht="18">
      <c r="B415" s="50"/>
      <c r="C415" s="50"/>
      <c r="D415" s="50"/>
      <c r="E415" s="50"/>
      <c r="F415" s="50"/>
      <c r="G415" s="50"/>
      <c r="H415" s="50"/>
      <c r="I415" s="50"/>
      <c r="J415" s="50"/>
      <c r="K415" s="50"/>
    </row>
    <row r="416" spans="2:11" ht="18">
      <c r="B416" s="50"/>
      <c r="C416" s="50"/>
      <c r="D416" s="50"/>
      <c r="E416" s="50"/>
      <c r="F416" s="50"/>
      <c r="G416" s="50"/>
      <c r="H416" s="50"/>
      <c r="I416" s="50"/>
      <c r="J416" s="50"/>
      <c r="K416" s="50"/>
    </row>
    <row r="417" spans="1:12" ht="18">
      <c r="B417" s="50"/>
      <c r="C417" s="50"/>
      <c r="D417" s="50"/>
      <c r="E417" s="50"/>
      <c r="F417" s="50"/>
      <c r="G417" s="50"/>
      <c r="H417" s="50"/>
      <c r="I417" s="50"/>
      <c r="J417" s="50"/>
      <c r="K417" s="50"/>
    </row>
    <row r="418" spans="1:12" ht="18">
      <c r="B418" s="50"/>
      <c r="C418" s="50"/>
      <c r="D418" s="50"/>
      <c r="E418" s="50"/>
      <c r="F418" s="50"/>
      <c r="G418" s="50"/>
      <c r="H418" s="50"/>
      <c r="I418" s="50"/>
      <c r="J418" s="50"/>
      <c r="K418" s="50"/>
    </row>
    <row r="419" spans="1:12" ht="18">
      <c r="B419" s="50"/>
      <c r="C419" s="50"/>
      <c r="D419" s="50"/>
      <c r="E419" s="50"/>
      <c r="F419" s="50"/>
      <c r="G419" s="50"/>
      <c r="H419" s="50"/>
      <c r="I419" s="50"/>
      <c r="J419" s="50"/>
      <c r="K419" s="50"/>
    </row>
    <row r="420" spans="1:12" ht="18">
      <c r="B420" s="50"/>
      <c r="C420" s="50"/>
      <c r="D420" s="50"/>
      <c r="E420" s="50"/>
      <c r="F420" s="50"/>
      <c r="G420" s="50"/>
      <c r="H420" s="50"/>
      <c r="I420" s="50"/>
      <c r="J420" s="50"/>
      <c r="K420" s="50"/>
    </row>
    <row r="421" spans="1:12" ht="18">
      <c r="B421" s="21"/>
      <c r="C421" s="21"/>
      <c r="D421" s="21"/>
      <c r="E421" s="21"/>
      <c r="F421" s="21"/>
      <c r="G421" s="21"/>
      <c r="H421" s="21"/>
      <c r="I421" s="21"/>
      <c r="J421" s="21"/>
      <c r="K421" s="21"/>
    </row>
    <row r="422" spans="1:12" ht="20">
      <c r="A422" s="239" t="s">
        <v>214</v>
      </c>
      <c r="B422" s="33"/>
      <c r="C422" s="33"/>
      <c r="D422" s="26"/>
      <c r="E422" s="33"/>
    </row>
    <row r="423" spans="1:12">
      <c r="B423" s="116"/>
      <c r="C423" s="116"/>
      <c r="D423" s="116"/>
      <c r="E423" s="116"/>
      <c r="F423" s="116"/>
      <c r="G423" s="116"/>
      <c r="H423" s="116"/>
      <c r="I423" s="116"/>
      <c r="J423" s="116"/>
      <c r="K423" s="116"/>
      <c r="L423" s="116"/>
    </row>
    <row r="424" spans="1:12" ht="18">
      <c r="A424" s="24" t="s">
        <v>47</v>
      </c>
      <c r="B424" s="27">
        <v>8</v>
      </c>
      <c r="C424" s="27">
        <v>9</v>
      </c>
      <c r="D424" s="27">
        <v>10</v>
      </c>
      <c r="E424" s="27">
        <v>11</v>
      </c>
      <c r="F424" s="27">
        <v>12</v>
      </c>
      <c r="G424" s="27">
        <v>13</v>
      </c>
      <c r="H424" s="27">
        <v>14</v>
      </c>
      <c r="I424" s="27">
        <v>15</v>
      </c>
      <c r="J424" s="27">
        <v>16</v>
      </c>
      <c r="K424" s="27" t="s">
        <v>2</v>
      </c>
      <c r="L424" s="116"/>
    </row>
    <row r="425" spans="1:12">
      <c r="A425" s="58" t="s">
        <v>51</v>
      </c>
      <c r="B425" s="222">
        <f>B374</f>
        <v>0.66669999999999996</v>
      </c>
      <c r="C425" s="222">
        <f t="shared" ref="C425:I425" si="69">C374</f>
        <v>0.65</v>
      </c>
      <c r="D425" s="222">
        <f t="shared" si="69"/>
        <v>0.75</v>
      </c>
      <c r="E425" s="222">
        <f t="shared" si="69"/>
        <v>0.8</v>
      </c>
      <c r="F425" s="222">
        <f t="shared" si="69"/>
        <v>0.8</v>
      </c>
      <c r="G425" s="222">
        <f t="shared" si="69"/>
        <v>0.8</v>
      </c>
      <c r="H425" s="222">
        <f t="shared" si="69"/>
        <v>0.85</v>
      </c>
      <c r="I425" s="222">
        <f t="shared" si="69"/>
        <v>0.95</v>
      </c>
      <c r="J425" s="222"/>
      <c r="K425" s="223">
        <f>K374</f>
        <v>0.77949102564102557</v>
      </c>
      <c r="L425" s="116"/>
    </row>
    <row r="426" spans="1:12">
      <c r="A426" s="206" t="s">
        <v>62</v>
      </c>
      <c r="B426" s="224">
        <v>100</v>
      </c>
      <c r="C426" s="224">
        <f>B425*B426</f>
        <v>66.67</v>
      </c>
      <c r="D426" s="224">
        <f t="shared" ref="D426:J426" si="70">C425*C426</f>
        <v>43.335500000000003</v>
      </c>
      <c r="E426" s="224">
        <f t="shared" si="70"/>
        <v>32.501625000000004</v>
      </c>
      <c r="F426" s="224">
        <f>E425*E426</f>
        <v>26.001300000000004</v>
      </c>
      <c r="G426" s="224">
        <f t="shared" si="70"/>
        <v>20.801040000000004</v>
      </c>
      <c r="H426" s="224">
        <f t="shared" si="70"/>
        <v>16.640832000000003</v>
      </c>
      <c r="I426" s="224">
        <f t="shared" si="70"/>
        <v>14.144707200000003</v>
      </c>
      <c r="J426" s="224">
        <f t="shared" si="70"/>
        <v>13.437471840000002</v>
      </c>
      <c r="K426" s="224"/>
      <c r="L426" s="116"/>
    </row>
    <row r="427" spans="1:12">
      <c r="A427" s="58" t="s">
        <v>64</v>
      </c>
      <c r="B427" s="225">
        <f>(1-B425)*B426</f>
        <v>33.330000000000005</v>
      </c>
      <c r="C427" s="225">
        <f t="shared" ref="C427:J427" si="71">(1-C425)*C426</f>
        <v>23.334499999999998</v>
      </c>
      <c r="D427" s="225">
        <f t="shared" si="71"/>
        <v>10.833875000000001</v>
      </c>
      <c r="E427" s="225">
        <f t="shared" si="71"/>
        <v>6.5003249999999992</v>
      </c>
      <c r="F427" s="225">
        <f t="shared" si="71"/>
        <v>5.2002599999999992</v>
      </c>
      <c r="G427" s="225">
        <f t="shared" si="71"/>
        <v>4.1602079999999999</v>
      </c>
      <c r="H427" s="225">
        <f t="shared" si="71"/>
        <v>2.4961248000000009</v>
      </c>
      <c r="I427" s="225">
        <f t="shared" si="71"/>
        <v>0.70723536000000076</v>
      </c>
      <c r="J427" s="225">
        <f t="shared" si="71"/>
        <v>13.437471840000002</v>
      </c>
      <c r="K427" s="224">
        <f>SUM(B427:J427)</f>
        <v>100.00000000000001</v>
      </c>
      <c r="L427" s="116"/>
    </row>
    <row r="428" spans="1:12">
      <c r="A428" s="58" t="s">
        <v>52</v>
      </c>
      <c r="B428" s="116">
        <v>1</v>
      </c>
      <c r="C428" s="116">
        <v>2</v>
      </c>
      <c r="D428" s="116">
        <v>3</v>
      </c>
      <c r="E428" s="116">
        <v>4</v>
      </c>
      <c r="F428" s="116">
        <v>5</v>
      </c>
      <c r="G428" s="116">
        <v>6</v>
      </c>
      <c r="H428" s="116">
        <v>7</v>
      </c>
      <c r="I428" s="116">
        <v>8</v>
      </c>
      <c r="J428" s="116">
        <v>9</v>
      </c>
      <c r="K428" s="116"/>
      <c r="L428" s="116"/>
    </row>
    <row r="429" spans="1:12">
      <c r="A429" s="58" t="s">
        <v>58</v>
      </c>
      <c r="B429" s="224">
        <f>B427*B428</f>
        <v>33.330000000000005</v>
      </c>
      <c r="C429" s="224">
        <f t="shared" ref="C429:J429" si="72">C427*C428</f>
        <v>46.668999999999997</v>
      </c>
      <c r="D429" s="224">
        <f t="shared" si="72"/>
        <v>32.501625000000004</v>
      </c>
      <c r="E429" s="224">
        <f t="shared" si="72"/>
        <v>26.001299999999997</v>
      </c>
      <c r="F429" s="224">
        <f t="shared" si="72"/>
        <v>26.001299999999997</v>
      </c>
      <c r="G429" s="224">
        <f t="shared" si="72"/>
        <v>24.961247999999998</v>
      </c>
      <c r="H429" s="224">
        <f t="shared" si="72"/>
        <v>17.472873600000007</v>
      </c>
      <c r="I429" s="224">
        <f t="shared" si="72"/>
        <v>5.6578828800000061</v>
      </c>
      <c r="J429" s="224">
        <f t="shared" si="72"/>
        <v>120.93724656000002</v>
      </c>
      <c r="K429" s="224">
        <f>SUM(B429:J429)</f>
        <v>333.53247604000006</v>
      </c>
      <c r="L429" s="116"/>
    </row>
    <row r="430" spans="1:12" ht="18">
      <c r="A430" s="58" t="s">
        <v>59</v>
      </c>
      <c r="B430" s="116"/>
      <c r="C430" s="116"/>
      <c r="D430" s="116"/>
      <c r="E430" s="116"/>
      <c r="F430" s="116"/>
      <c r="G430" s="116"/>
      <c r="H430" s="116"/>
      <c r="I430" s="116"/>
      <c r="J430" s="116"/>
      <c r="K430" s="226">
        <f>K429/K427</f>
        <v>3.3353247604000003</v>
      </c>
      <c r="L430" s="227"/>
    </row>
    <row r="431" spans="1:12" ht="16" thickBot="1">
      <c r="B431" s="116"/>
      <c r="C431" s="116"/>
      <c r="D431" s="116"/>
      <c r="E431" s="116"/>
      <c r="F431" s="116"/>
      <c r="G431" s="116"/>
      <c r="H431" s="116"/>
      <c r="I431" s="116"/>
      <c r="J431" s="116"/>
      <c r="K431" s="116"/>
      <c r="L431" s="116"/>
    </row>
    <row r="432" spans="1:12" ht="16" thickTop="1">
      <c r="A432" s="190" t="s">
        <v>51</v>
      </c>
      <c r="B432" s="228">
        <f>B378</f>
        <v>0.75</v>
      </c>
      <c r="C432" s="228">
        <f>C378</f>
        <v>0.77500000000000002</v>
      </c>
      <c r="D432" s="228">
        <f>D378</f>
        <v>0.85</v>
      </c>
      <c r="E432" s="229">
        <f>E378</f>
        <v>0.9</v>
      </c>
      <c r="F432" s="228">
        <f t="shared" ref="F432:K432" si="73">F378</f>
        <v>0.8</v>
      </c>
      <c r="G432" s="229">
        <f t="shared" si="73"/>
        <v>0.8</v>
      </c>
      <c r="H432" s="229">
        <f t="shared" si="73"/>
        <v>0.85</v>
      </c>
      <c r="I432" s="229">
        <f t="shared" si="73"/>
        <v>0.95</v>
      </c>
      <c r="J432" s="229">
        <f t="shared" si="73"/>
        <v>0</v>
      </c>
      <c r="K432" s="230">
        <f t="shared" si="73"/>
        <v>0.83205128205128209</v>
      </c>
      <c r="L432" s="116"/>
    </row>
    <row r="433" spans="1:12">
      <c r="A433" s="25" t="s">
        <v>53</v>
      </c>
      <c r="B433" s="231">
        <v>100</v>
      </c>
      <c r="C433" s="231">
        <f>B432*B433</f>
        <v>75</v>
      </c>
      <c r="D433" s="231">
        <f t="shared" ref="D433:J433" si="74">C432*C433</f>
        <v>58.125</v>
      </c>
      <c r="E433" s="231">
        <f t="shared" si="74"/>
        <v>49.40625</v>
      </c>
      <c r="F433" s="231">
        <f>E432*E433</f>
        <v>44.465625000000003</v>
      </c>
      <c r="G433" s="231">
        <f t="shared" si="74"/>
        <v>35.572500000000005</v>
      </c>
      <c r="H433" s="231">
        <f t="shared" si="74"/>
        <v>28.458000000000006</v>
      </c>
      <c r="I433" s="231">
        <f t="shared" si="74"/>
        <v>24.189300000000003</v>
      </c>
      <c r="J433" s="231">
        <f t="shared" si="74"/>
        <v>22.979835000000001</v>
      </c>
      <c r="K433" s="232"/>
      <c r="L433" s="116"/>
    </row>
    <row r="434" spans="1:12">
      <c r="A434" s="240" t="s">
        <v>60</v>
      </c>
      <c r="B434" s="233">
        <f>(1-B432)*B433</f>
        <v>25</v>
      </c>
      <c r="C434" s="233">
        <f t="shared" ref="C434" si="75">(1-C432)*C433</f>
        <v>16.875</v>
      </c>
      <c r="D434" s="233">
        <f t="shared" ref="D434" si="76">(1-D432)*D433</f>
        <v>8.7187500000000018</v>
      </c>
      <c r="E434" s="233">
        <f t="shared" ref="E434" si="77">(1-E432)*E433</f>
        <v>4.9406249999999989</v>
      </c>
      <c r="F434" s="233">
        <f t="shared" ref="F434" si="78">(1-F432)*F433</f>
        <v>8.8931249999999977</v>
      </c>
      <c r="G434" s="233">
        <f t="shared" ref="G434" si="79">(1-G432)*G433</f>
        <v>7.1144999999999996</v>
      </c>
      <c r="H434" s="233">
        <f t="shared" ref="H434" si="80">(1-H432)*H433</f>
        <v>4.2687000000000017</v>
      </c>
      <c r="I434" s="233">
        <f t="shared" ref="I434" si="81">(1-I432)*I433</f>
        <v>1.2094650000000011</v>
      </c>
      <c r="J434" s="233">
        <f t="shared" ref="J434" si="82">(1-J432)*J433</f>
        <v>22.979835000000001</v>
      </c>
      <c r="K434" s="232">
        <f>SUM(B434:J434)</f>
        <v>100</v>
      </c>
      <c r="L434" s="116"/>
    </row>
    <row r="435" spans="1:12">
      <c r="A435" s="25" t="s">
        <v>52</v>
      </c>
      <c r="B435" s="152">
        <v>1</v>
      </c>
      <c r="C435" s="152">
        <v>2</v>
      </c>
      <c r="D435" s="152">
        <v>3</v>
      </c>
      <c r="E435" s="152">
        <v>4</v>
      </c>
      <c r="F435" s="152">
        <v>5</v>
      </c>
      <c r="G435" s="152">
        <v>6</v>
      </c>
      <c r="H435" s="152">
        <v>7</v>
      </c>
      <c r="I435" s="152">
        <v>8</v>
      </c>
      <c r="J435" s="152">
        <v>9</v>
      </c>
      <c r="K435" s="216"/>
      <c r="L435" s="116"/>
    </row>
    <row r="436" spans="1:12">
      <c r="A436" s="25" t="s">
        <v>58</v>
      </c>
      <c r="B436" s="231">
        <f>B434*B435</f>
        <v>25</v>
      </c>
      <c r="C436" s="231">
        <f t="shared" ref="C436" si="83">C434*C435</f>
        <v>33.75</v>
      </c>
      <c r="D436" s="231">
        <f t="shared" ref="D436" si="84">D434*D435</f>
        <v>26.156250000000007</v>
      </c>
      <c r="E436" s="231">
        <f t="shared" ref="E436" si="85">E434*E435</f>
        <v>19.762499999999996</v>
      </c>
      <c r="F436" s="231">
        <f t="shared" ref="F436" si="86">F434*F435</f>
        <v>44.465624999999989</v>
      </c>
      <c r="G436" s="231">
        <f t="shared" ref="G436" si="87">G434*G435</f>
        <v>42.686999999999998</v>
      </c>
      <c r="H436" s="231">
        <f t="shared" ref="H436" si="88">H434*H435</f>
        <v>29.880900000000011</v>
      </c>
      <c r="I436" s="231">
        <f t="shared" ref="I436" si="89">I434*I435</f>
        <v>9.675720000000009</v>
      </c>
      <c r="J436" s="231">
        <f t="shared" ref="J436" si="90">J434*J435</f>
        <v>206.81851500000002</v>
      </c>
      <c r="K436" s="232">
        <f>SUM(B436:J436)</f>
        <v>438.19650999999999</v>
      </c>
      <c r="L436" s="116"/>
    </row>
    <row r="437" spans="1:12">
      <c r="A437" s="25" t="s">
        <v>59</v>
      </c>
      <c r="B437" s="152"/>
      <c r="C437" s="152"/>
      <c r="D437" s="152"/>
      <c r="E437" s="152"/>
      <c r="F437" s="152"/>
      <c r="G437" s="152"/>
      <c r="H437" s="152"/>
      <c r="I437" s="152"/>
      <c r="J437" s="152"/>
      <c r="K437" s="234">
        <f>K436/K434</f>
        <v>4.3819650999999995</v>
      </c>
      <c r="L437" s="116"/>
    </row>
    <row r="438" spans="1:12" ht="16" thickBot="1">
      <c r="A438" s="191"/>
      <c r="B438" s="156"/>
      <c r="C438" s="156"/>
      <c r="D438" s="156"/>
      <c r="E438" s="156"/>
      <c r="F438" s="156"/>
      <c r="G438" s="156"/>
      <c r="H438" s="156"/>
      <c r="I438" s="156"/>
      <c r="J438" s="156"/>
      <c r="K438" s="235"/>
      <c r="L438" s="116"/>
    </row>
    <row r="439" spans="1:12" ht="16" thickTop="1">
      <c r="A439" s="5" t="s">
        <v>84</v>
      </c>
      <c r="B439" s="116"/>
      <c r="C439" s="236"/>
      <c r="D439" s="116"/>
      <c r="E439" s="116"/>
      <c r="F439" s="116"/>
      <c r="G439" s="116"/>
      <c r="H439" s="116"/>
      <c r="I439" s="116"/>
      <c r="J439" s="116"/>
      <c r="K439" s="116"/>
      <c r="L439" s="116"/>
    </row>
    <row r="440" spans="1:12">
      <c r="A440" s="5" t="s">
        <v>85</v>
      </c>
      <c r="B440" s="116"/>
      <c r="C440" s="236"/>
      <c r="D440" s="116"/>
      <c r="E440" s="116"/>
      <c r="F440" s="116"/>
      <c r="G440" s="116"/>
      <c r="H440" s="116"/>
      <c r="I440" s="116"/>
      <c r="J440" s="116"/>
      <c r="K440" s="116"/>
      <c r="L440" s="116"/>
    </row>
    <row r="441" spans="1:12">
      <c r="A441" s="5"/>
      <c r="B441" s="237">
        <f>B424</f>
        <v>8</v>
      </c>
      <c r="C441" s="237">
        <f t="shared" ref="C441:J441" si="91">C424</f>
        <v>9</v>
      </c>
      <c r="D441" s="237">
        <f t="shared" si="91"/>
        <v>10</v>
      </c>
      <c r="E441" s="237">
        <f t="shared" si="91"/>
        <v>11</v>
      </c>
      <c r="F441" s="237">
        <f t="shared" si="91"/>
        <v>12</v>
      </c>
      <c r="G441" s="237">
        <f t="shared" si="91"/>
        <v>13</v>
      </c>
      <c r="H441" s="237">
        <f t="shared" si="91"/>
        <v>14</v>
      </c>
      <c r="I441" s="237">
        <f t="shared" si="91"/>
        <v>15</v>
      </c>
      <c r="J441" s="237">
        <f t="shared" si="91"/>
        <v>16</v>
      </c>
      <c r="K441" s="116"/>
      <c r="L441" s="116"/>
    </row>
    <row r="442" spans="1:12">
      <c r="A442" t="s">
        <v>86</v>
      </c>
      <c r="B442" s="222">
        <f>B425</f>
        <v>0.66669999999999996</v>
      </c>
      <c r="C442" s="222">
        <f t="shared" ref="C442:K442" si="92">C425</f>
        <v>0.65</v>
      </c>
      <c r="D442" s="222">
        <f t="shared" si="92"/>
        <v>0.75</v>
      </c>
      <c r="E442" s="222">
        <f t="shared" si="92"/>
        <v>0.8</v>
      </c>
      <c r="F442" s="222">
        <f t="shared" si="92"/>
        <v>0.8</v>
      </c>
      <c r="G442" s="222">
        <f t="shared" si="92"/>
        <v>0.8</v>
      </c>
      <c r="H442" s="222">
        <f t="shared" si="92"/>
        <v>0.85</v>
      </c>
      <c r="I442" s="222">
        <f t="shared" si="92"/>
        <v>0.95</v>
      </c>
      <c r="J442" s="222">
        <f t="shared" si="92"/>
        <v>0</v>
      </c>
      <c r="K442" s="222">
        <f t="shared" si="92"/>
        <v>0.77949102564102557</v>
      </c>
      <c r="L442" s="116"/>
    </row>
    <row r="443" spans="1:12">
      <c r="A443" t="s">
        <v>87</v>
      </c>
      <c r="B443" s="222"/>
      <c r="C443" s="222"/>
      <c r="D443" s="222">
        <f>B442</f>
        <v>0.66669999999999996</v>
      </c>
      <c r="E443" s="222">
        <f t="shared" ref="E443" si="93">C442</f>
        <v>0.65</v>
      </c>
      <c r="F443" s="222">
        <f>E442</f>
        <v>0.8</v>
      </c>
      <c r="G443" s="222">
        <f>F442</f>
        <v>0.8</v>
      </c>
      <c r="H443" s="222">
        <f t="shared" ref="H443:I443" si="94">G442</f>
        <v>0.8</v>
      </c>
      <c r="I443" s="222">
        <f t="shared" si="94"/>
        <v>0.85</v>
      </c>
      <c r="J443" s="222"/>
      <c r="K443" s="222"/>
      <c r="L443" s="116"/>
    </row>
    <row r="444" spans="1:12">
      <c r="A444" t="s">
        <v>88</v>
      </c>
      <c r="B444" s="222"/>
      <c r="C444" s="222"/>
      <c r="D444" s="222">
        <f>D442*0.5+D443*0.5</f>
        <v>0.70835000000000004</v>
      </c>
      <c r="E444" s="222">
        <f t="shared" ref="E444:I444" si="95">E442*0.5+E443*0.5</f>
        <v>0.72500000000000009</v>
      </c>
      <c r="F444" s="222">
        <f t="shared" si="95"/>
        <v>0.8</v>
      </c>
      <c r="G444" s="222">
        <f t="shared" si="95"/>
        <v>0.8</v>
      </c>
      <c r="H444" s="222">
        <f t="shared" si="95"/>
        <v>0.82499999999999996</v>
      </c>
      <c r="I444" s="222">
        <f t="shared" si="95"/>
        <v>0.89999999999999991</v>
      </c>
      <c r="J444" s="222"/>
      <c r="K444" s="222"/>
      <c r="L444" s="116"/>
    </row>
    <row r="445" spans="1:12">
      <c r="A445" t="s">
        <v>62</v>
      </c>
      <c r="B445" s="224"/>
      <c r="C445" s="224"/>
      <c r="D445" s="224">
        <v>100</v>
      </c>
      <c r="E445" s="224">
        <f>D445-D446</f>
        <v>70.835000000000008</v>
      </c>
      <c r="F445" s="224">
        <f>E445-E446</f>
        <v>51.355375000000009</v>
      </c>
      <c r="G445" s="224">
        <f>F445-F446</f>
        <v>41.084300000000013</v>
      </c>
      <c r="H445" s="224">
        <f t="shared" ref="H445:J445" si="96">G445-G446</f>
        <v>32.867440000000016</v>
      </c>
      <c r="I445" s="224">
        <f t="shared" si="96"/>
        <v>27.115638000000011</v>
      </c>
      <c r="J445" s="224">
        <f t="shared" si="96"/>
        <v>24.404074200000007</v>
      </c>
      <c r="K445" s="224"/>
      <c r="L445" s="116"/>
    </row>
    <row r="446" spans="1:12">
      <c r="A446" t="s">
        <v>64</v>
      </c>
      <c r="B446" s="225">
        <f>(1-B442)*B445</f>
        <v>0</v>
      </c>
      <c r="C446" s="225">
        <f t="shared" ref="C446" si="97">(1-C442)*C445</f>
        <v>0</v>
      </c>
      <c r="D446" s="225">
        <f>(1-D444)*D445</f>
        <v>29.164999999999996</v>
      </c>
      <c r="E446" s="225">
        <f t="shared" ref="E446" si="98">(1-E444)*E445</f>
        <v>19.479624999999995</v>
      </c>
      <c r="F446" s="225">
        <f t="shared" ref="F446" si="99">(1-F444)*F445</f>
        <v>10.271075</v>
      </c>
      <c r="G446" s="225">
        <f t="shared" ref="G446" si="100">(1-G444)*G445</f>
        <v>8.2168600000000005</v>
      </c>
      <c r="H446" s="225">
        <f t="shared" ref="H446" si="101">(1-H444)*H445</f>
        <v>5.7518020000000041</v>
      </c>
      <c r="I446" s="225">
        <f t="shared" ref="I446" si="102">(1-I444)*I445</f>
        <v>2.7115638000000035</v>
      </c>
      <c r="J446" s="225">
        <f t="shared" ref="J446" si="103">(1-J444)*J445</f>
        <v>24.404074200000007</v>
      </c>
      <c r="K446" s="224">
        <f>SUM(D446:J446)</f>
        <v>100</v>
      </c>
      <c r="L446" s="116"/>
    </row>
    <row r="447" spans="1:12">
      <c r="A447" t="s">
        <v>52</v>
      </c>
      <c r="B447" s="116"/>
      <c r="C447" s="116"/>
      <c r="D447" s="116">
        <v>1</v>
      </c>
      <c r="E447" s="116">
        <v>2</v>
      </c>
      <c r="F447" s="116">
        <v>3</v>
      </c>
      <c r="G447" s="116">
        <v>4</v>
      </c>
      <c r="H447" s="116">
        <v>5</v>
      </c>
      <c r="I447" s="116">
        <v>6</v>
      </c>
      <c r="J447" s="116">
        <v>7</v>
      </c>
      <c r="K447" s="116"/>
      <c r="L447" s="116"/>
    </row>
    <row r="448" spans="1:12">
      <c r="A448" t="s">
        <v>58</v>
      </c>
      <c r="B448" s="224"/>
      <c r="C448" s="224"/>
      <c r="D448" s="224">
        <f t="shared" ref="D448:E448" si="104">D446*D447</f>
        <v>29.164999999999996</v>
      </c>
      <c r="E448" s="224">
        <f t="shared" si="104"/>
        <v>38.95924999999999</v>
      </c>
      <c r="F448" s="224">
        <f t="shared" ref="F448:J448" si="105">F446*F447</f>
        <v>30.813224999999999</v>
      </c>
      <c r="G448" s="224">
        <f t="shared" si="105"/>
        <v>32.867440000000002</v>
      </c>
      <c r="H448" s="224">
        <f t="shared" si="105"/>
        <v>28.759010000000021</v>
      </c>
      <c r="I448" s="224">
        <f t="shared" si="105"/>
        <v>16.26938280000002</v>
      </c>
      <c r="J448" s="224">
        <f t="shared" si="105"/>
        <v>170.82851940000006</v>
      </c>
      <c r="K448" s="224">
        <f>SUM(B448:J448)</f>
        <v>347.66182720000006</v>
      </c>
      <c r="L448" s="116"/>
    </row>
    <row r="449" spans="1:12">
      <c r="A449" t="s">
        <v>59</v>
      </c>
      <c r="B449" s="116"/>
      <c r="C449" s="116"/>
      <c r="D449" s="116"/>
      <c r="E449" s="116"/>
      <c r="F449" s="116"/>
      <c r="G449" s="116"/>
      <c r="H449" s="116"/>
      <c r="I449" s="116"/>
      <c r="J449" s="116"/>
      <c r="K449" s="226">
        <f>K448/100</f>
        <v>3.4766182720000005</v>
      </c>
      <c r="L449" s="116"/>
    </row>
  </sheetData>
  <mergeCells count="52">
    <mergeCell ref="F155:K155"/>
    <mergeCell ref="A146:B146"/>
    <mergeCell ref="A67:C67"/>
    <mergeCell ref="L385:M385"/>
    <mergeCell ref="A150:D150"/>
    <mergeCell ref="F150:N150"/>
    <mergeCell ref="A154:C154"/>
    <mergeCell ref="A105:C105"/>
    <mergeCell ref="A174:J174"/>
    <mergeCell ref="B225:B226"/>
    <mergeCell ref="H226:N227"/>
    <mergeCell ref="B3:D3"/>
    <mergeCell ref="A65:C65"/>
    <mergeCell ref="A66:C66"/>
    <mergeCell ref="I38:L44"/>
    <mergeCell ref="A10:B10"/>
    <mergeCell ref="A11:B11"/>
    <mergeCell ref="A13:B13"/>
    <mergeCell ref="A16:C16"/>
    <mergeCell ref="A12:C12"/>
    <mergeCell ref="A17:C17"/>
    <mergeCell ref="A41:B41"/>
    <mergeCell ref="A42:B42"/>
    <mergeCell ref="G66:L66"/>
    <mergeCell ref="A45:C45"/>
    <mergeCell ref="A78:C78"/>
    <mergeCell ref="A112:B112"/>
    <mergeCell ref="E221:F221"/>
    <mergeCell ref="A102:J102"/>
    <mergeCell ref="A135:E135"/>
    <mergeCell ref="A210:J210"/>
    <mergeCell ref="F225:F226"/>
    <mergeCell ref="A79:C79"/>
    <mergeCell ref="A114:C114"/>
    <mergeCell ref="A149:C149"/>
    <mergeCell ref="A151:B151"/>
    <mergeCell ref="A155:B155"/>
    <mergeCell ref="A156:C156"/>
    <mergeCell ref="G71:L71"/>
    <mergeCell ref="G72:L72"/>
    <mergeCell ref="G73:L73"/>
    <mergeCell ref="G77:L77"/>
    <mergeCell ref="A36:E36"/>
    <mergeCell ref="A75:C75"/>
    <mergeCell ref="A77:C77"/>
    <mergeCell ref="A68:C68"/>
    <mergeCell ref="A69:C69"/>
    <mergeCell ref="A71:C71"/>
    <mergeCell ref="A72:C72"/>
    <mergeCell ref="A73:C73"/>
    <mergeCell ref="A47:C47"/>
    <mergeCell ref="G67:L68"/>
  </mergeCells>
  <phoneticPr fontId="13" type="noConversion"/>
  <pageMargins left="0.12000000000000001" right="0.12000000000000001" top="0.18000000000000002" bottom="0.18000000000000002" header="0.10999999999999999" footer="0.10999999999999999"/>
  <pageSetup scale="95" orientation="landscape" horizontalDpi="4294967292" verticalDpi="4294967292"/>
  <headerFooter>
    <oddFooter>&amp;R&amp;"Calibri,Regular"&amp;K000000&amp;P</oddFooter>
  </headerFooter>
  <rowBreaks count="9" manualBreakCount="9">
    <brk id="60" max="16383" man="1"/>
    <brk id="133" max="16383" man="1"/>
    <brk id="172" max="16383" man="1"/>
    <brk id="191" max="16383" man="1"/>
    <brk id="209" max="16383" man="1"/>
    <brk id="259" max="16383" man="1"/>
    <brk id="299" max="16383" man="1"/>
    <brk id="367" max="16383" man="1"/>
    <brk id="420" max="16383" man="1"/>
  </rowBreaks>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5:N24"/>
  <sheetViews>
    <sheetView workbookViewId="0">
      <selection activeCell="E17" sqref="E17:L22"/>
    </sheetView>
  </sheetViews>
  <sheetFormatPr baseColWidth="10" defaultRowHeight="15" x14ac:dyDescent="0"/>
  <sheetData>
    <row r="5" spans="2:14">
      <c r="M5" t="s">
        <v>22</v>
      </c>
      <c r="N5" t="s">
        <v>26</v>
      </c>
    </row>
    <row r="6" spans="2:14">
      <c r="C6" s="5">
        <v>8</v>
      </c>
      <c r="D6" s="5">
        <v>9</v>
      </c>
      <c r="E6" s="5">
        <v>10</v>
      </c>
      <c r="F6" s="5">
        <v>11</v>
      </c>
      <c r="G6" s="5">
        <v>12</v>
      </c>
      <c r="H6" s="5">
        <v>13</v>
      </c>
      <c r="I6" s="5">
        <v>14</v>
      </c>
      <c r="J6" s="5">
        <v>15</v>
      </c>
      <c r="K6" s="5">
        <v>16</v>
      </c>
      <c r="L6" t="s">
        <v>2</v>
      </c>
      <c r="M6" t="s">
        <v>23</v>
      </c>
      <c r="N6" t="s">
        <v>27</v>
      </c>
    </row>
    <row r="7" spans="2:14">
      <c r="B7" t="s">
        <v>7</v>
      </c>
      <c r="C7">
        <v>40</v>
      </c>
      <c r="D7">
        <v>35</v>
      </c>
      <c r="E7">
        <v>35</v>
      </c>
      <c r="F7">
        <v>32</v>
      </c>
      <c r="G7">
        <v>30</v>
      </c>
      <c r="H7">
        <v>27</v>
      </c>
      <c r="I7">
        <v>25</v>
      </c>
      <c r="J7">
        <v>23</v>
      </c>
      <c r="K7">
        <v>21</v>
      </c>
      <c r="L7">
        <f>SUM(C7:K7)</f>
        <v>268</v>
      </c>
      <c r="M7">
        <f>SUM(C7:J7)</f>
        <v>247</v>
      </c>
    </row>
    <row r="8" spans="2:14">
      <c r="B8" t="s">
        <v>25</v>
      </c>
      <c r="D8" s="6">
        <f t="shared" ref="D8:K8" si="0">D9/C7</f>
        <v>0.67500000000000004</v>
      </c>
      <c r="E8" s="6">
        <f t="shared" si="0"/>
        <v>0.68571428571428572</v>
      </c>
      <c r="F8" s="6">
        <f t="shared" si="0"/>
        <v>0.74285714285714288</v>
      </c>
      <c r="G8" s="6">
        <f t="shared" si="0"/>
        <v>0.78125</v>
      </c>
      <c r="H8" s="6">
        <f t="shared" si="0"/>
        <v>0.76666666666666672</v>
      </c>
      <c r="I8" s="6">
        <f t="shared" si="0"/>
        <v>0.77777777777777779</v>
      </c>
      <c r="J8" s="6">
        <f t="shared" si="0"/>
        <v>0.92</v>
      </c>
      <c r="K8" s="6">
        <f t="shared" si="0"/>
        <v>0.91304347826086951</v>
      </c>
      <c r="N8" s="7">
        <f>N9/M7</f>
        <v>0.76923076923076927</v>
      </c>
    </row>
    <row r="9" spans="2:14">
      <c r="B9" t="s">
        <v>8</v>
      </c>
      <c r="D9">
        <v>27</v>
      </c>
      <c r="E9">
        <v>24</v>
      </c>
      <c r="F9">
        <v>26</v>
      </c>
      <c r="G9">
        <v>25</v>
      </c>
      <c r="H9">
        <v>23</v>
      </c>
      <c r="I9">
        <v>21</v>
      </c>
      <c r="J9">
        <v>23</v>
      </c>
      <c r="K9">
        <v>21</v>
      </c>
      <c r="N9">
        <f>SUM(D9:K9)</f>
        <v>190</v>
      </c>
    </row>
    <row r="11" spans="2:14">
      <c r="B11" t="s">
        <v>28</v>
      </c>
      <c r="C11">
        <f>C7</f>
        <v>40</v>
      </c>
      <c r="D11">
        <f>D7-D9</f>
        <v>8</v>
      </c>
      <c r="E11">
        <f t="shared" ref="E11:K11" si="1">E7-E9</f>
        <v>11</v>
      </c>
      <c r="F11">
        <f t="shared" si="1"/>
        <v>6</v>
      </c>
      <c r="G11">
        <f t="shared" si="1"/>
        <v>5</v>
      </c>
      <c r="H11">
        <f t="shared" si="1"/>
        <v>4</v>
      </c>
      <c r="I11">
        <f t="shared" si="1"/>
        <v>4</v>
      </c>
      <c r="J11">
        <f t="shared" si="1"/>
        <v>0</v>
      </c>
      <c r="K11">
        <f t="shared" si="1"/>
        <v>0</v>
      </c>
      <c r="L11">
        <f>SUM(C11:K11)</f>
        <v>78</v>
      </c>
    </row>
    <row r="12" spans="2:14">
      <c r="B12" t="s">
        <v>31</v>
      </c>
      <c r="C12">
        <f>C11+C9</f>
        <v>40</v>
      </c>
      <c r="D12">
        <f t="shared" ref="D12:K12" si="2">D11+D9</f>
        <v>35</v>
      </c>
      <c r="E12">
        <f t="shared" si="2"/>
        <v>35</v>
      </c>
      <c r="F12">
        <f t="shared" si="2"/>
        <v>32</v>
      </c>
      <c r="G12">
        <f t="shared" si="2"/>
        <v>30</v>
      </c>
      <c r="H12">
        <f t="shared" si="2"/>
        <v>27</v>
      </c>
      <c r="I12">
        <f t="shared" si="2"/>
        <v>25</v>
      </c>
      <c r="J12">
        <f t="shared" si="2"/>
        <v>23</v>
      </c>
      <c r="K12">
        <f t="shared" si="2"/>
        <v>21</v>
      </c>
      <c r="L12">
        <f>SUM(C12:K12)</f>
        <v>268</v>
      </c>
    </row>
    <row r="13" spans="2:14">
      <c r="B13" t="s">
        <v>29</v>
      </c>
    </row>
    <row r="14" spans="2:14">
      <c r="B14" t="s">
        <v>30</v>
      </c>
      <c r="D14">
        <v>0.08</v>
      </c>
      <c r="E14">
        <v>7.0000000000000007E-2</v>
      </c>
      <c r="F14">
        <v>0.06</v>
      </c>
      <c r="G14">
        <v>0.05</v>
      </c>
      <c r="H14">
        <v>0.05</v>
      </c>
      <c r="I14">
        <v>0.05</v>
      </c>
    </row>
    <row r="15" spans="2:14">
      <c r="B15" s="8">
        <v>0.05</v>
      </c>
      <c r="D15" s="8">
        <f t="shared" ref="D15:K15" si="3">D8+D14</f>
        <v>0.755</v>
      </c>
      <c r="E15" s="8">
        <f t="shared" si="3"/>
        <v>0.75571428571428578</v>
      </c>
      <c r="F15" s="8">
        <f t="shared" si="3"/>
        <v>0.80285714285714294</v>
      </c>
      <c r="G15" s="8">
        <f t="shared" si="3"/>
        <v>0.83125000000000004</v>
      </c>
      <c r="H15" s="8">
        <f t="shared" si="3"/>
        <v>0.81666666666666676</v>
      </c>
      <c r="I15" s="8">
        <f t="shared" si="3"/>
        <v>0.82777777777777783</v>
      </c>
      <c r="J15" s="8">
        <f t="shared" si="3"/>
        <v>0.92</v>
      </c>
      <c r="K15" s="8">
        <f t="shared" si="3"/>
        <v>0.91304347826086951</v>
      </c>
      <c r="L15" s="9"/>
      <c r="M15" s="9"/>
      <c r="N15" s="9"/>
    </row>
    <row r="16" spans="2:14">
      <c r="B16" t="s">
        <v>8</v>
      </c>
      <c r="C16">
        <f>$C$7</f>
        <v>40</v>
      </c>
      <c r="D16">
        <f>D$15*C7+D11</f>
        <v>38.200000000000003</v>
      </c>
      <c r="E16">
        <f t="shared" ref="E16:K16" si="4">E$15*D7+E11</f>
        <v>37.450000000000003</v>
      </c>
      <c r="F16">
        <f t="shared" si="4"/>
        <v>34.1</v>
      </c>
      <c r="G16">
        <f t="shared" si="4"/>
        <v>31.6</v>
      </c>
      <c r="H16">
        <f t="shared" si="4"/>
        <v>28.500000000000004</v>
      </c>
      <c r="I16">
        <f t="shared" si="4"/>
        <v>26.35</v>
      </c>
      <c r="J16">
        <f t="shared" si="4"/>
        <v>23</v>
      </c>
      <c r="K16">
        <f t="shared" si="4"/>
        <v>21</v>
      </c>
      <c r="L16">
        <f>SUM(C16:K16)</f>
        <v>280.2</v>
      </c>
    </row>
    <row r="17" spans="2:12">
      <c r="B17" t="s">
        <v>9</v>
      </c>
      <c r="C17">
        <f t="shared" ref="C17:C22" si="5">$C$7</f>
        <v>40</v>
      </c>
      <c r="D17">
        <f>D$15*C16+$D$11</f>
        <v>38.200000000000003</v>
      </c>
      <c r="E17" s="4">
        <f t="shared" ref="E17:K22" si="6">E$15*D16+$D$11</f>
        <v>36.868285714285719</v>
      </c>
      <c r="F17" s="4">
        <f t="shared" si="6"/>
        <v>38.067000000000007</v>
      </c>
      <c r="G17" s="4">
        <f t="shared" si="6"/>
        <v>36.345624999999998</v>
      </c>
      <c r="H17" s="4">
        <f t="shared" si="6"/>
        <v>33.806666666666672</v>
      </c>
      <c r="I17" s="4">
        <f t="shared" si="6"/>
        <v>31.591666666666672</v>
      </c>
      <c r="J17" s="4">
        <f t="shared" si="6"/>
        <v>32.242000000000004</v>
      </c>
      <c r="K17" s="4">
        <f t="shared" si="6"/>
        <v>29</v>
      </c>
      <c r="L17" s="4">
        <f t="shared" ref="L17:L23" si="7">SUM(C17:K17)</f>
        <v>316.12124404761903</v>
      </c>
    </row>
    <row r="18" spans="2:12">
      <c r="B18" t="s">
        <v>10</v>
      </c>
      <c r="C18">
        <f t="shared" si="5"/>
        <v>40</v>
      </c>
      <c r="D18">
        <f t="shared" ref="D18:D22" si="8">D$15*C17+$D$11</f>
        <v>38.200000000000003</v>
      </c>
      <c r="E18" s="4">
        <f t="shared" si="6"/>
        <v>36.868285714285719</v>
      </c>
      <c r="F18" s="4">
        <f t="shared" si="6"/>
        <v>37.599966530612249</v>
      </c>
      <c r="G18" s="4">
        <f t="shared" si="6"/>
        <v>39.643193750000009</v>
      </c>
      <c r="H18" s="4">
        <f t="shared" si="6"/>
        <v>37.682260416666665</v>
      </c>
      <c r="I18" s="4">
        <f t="shared" si="6"/>
        <v>35.984407407407417</v>
      </c>
      <c r="J18" s="4">
        <f t="shared" si="6"/>
        <v>37.064333333333337</v>
      </c>
      <c r="K18" s="4">
        <f t="shared" si="6"/>
        <v>37.438347826086954</v>
      </c>
      <c r="L18" s="4">
        <f t="shared" si="7"/>
        <v>340.48079497839245</v>
      </c>
    </row>
    <row r="19" spans="2:12">
      <c r="B19" t="s">
        <v>11</v>
      </c>
      <c r="C19">
        <f t="shared" si="5"/>
        <v>40</v>
      </c>
      <c r="D19">
        <f t="shared" si="8"/>
        <v>38.200000000000003</v>
      </c>
      <c r="E19" s="4">
        <f t="shared" si="6"/>
        <v>36.868285714285719</v>
      </c>
      <c r="F19" s="4">
        <f t="shared" si="6"/>
        <v>37.599966530612249</v>
      </c>
      <c r="G19" s="4">
        <f t="shared" si="6"/>
        <v>39.254972178571435</v>
      </c>
      <c r="H19" s="4">
        <f t="shared" si="6"/>
        <v>40.375274895833343</v>
      </c>
      <c r="I19" s="4">
        <f t="shared" si="6"/>
        <v>39.192537789351853</v>
      </c>
      <c r="J19" s="4">
        <f t="shared" si="6"/>
        <v>41.105654814814827</v>
      </c>
      <c r="K19" s="4">
        <f t="shared" si="6"/>
        <v>41.84134782608696</v>
      </c>
      <c r="L19" s="4">
        <f t="shared" si="7"/>
        <v>354.43803974955642</v>
      </c>
    </row>
    <row r="20" spans="2:12">
      <c r="B20" t="s">
        <v>12</v>
      </c>
      <c r="C20">
        <f t="shared" si="5"/>
        <v>40</v>
      </c>
      <c r="D20">
        <f t="shared" si="8"/>
        <v>38.200000000000003</v>
      </c>
      <c r="E20" s="4">
        <f t="shared" si="6"/>
        <v>36.868285714285719</v>
      </c>
      <c r="F20" s="4">
        <f t="shared" si="6"/>
        <v>37.599966530612249</v>
      </c>
      <c r="G20" s="4">
        <f t="shared" si="6"/>
        <v>39.254972178571435</v>
      </c>
      <c r="H20" s="4">
        <f t="shared" si="6"/>
        <v>40.058227279166672</v>
      </c>
      <c r="I20" s="4">
        <f t="shared" si="6"/>
        <v>41.421755330439822</v>
      </c>
      <c r="J20" s="4">
        <f t="shared" si="6"/>
        <v>44.05713476620371</v>
      </c>
      <c r="K20" s="4">
        <f t="shared" si="6"/>
        <v>45.53125004830919</v>
      </c>
      <c r="L20" s="4">
        <f t="shared" si="7"/>
        <v>362.99159184758878</v>
      </c>
    </row>
    <row r="21" spans="2:12">
      <c r="B21" t="s">
        <v>13</v>
      </c>
      <c r="C21">
        <f t="shared" si="5"/>
        <v>40</v>
      </c>
      <c r="D21">
        <f t="shared" si="8"/>
        <v>38.200000000000003</v>
      </c>
      <c r="E21" s="4">
        <f t="shared" si="6"/>
        <v>36.868285714285719</v>
      </c>
      <c r="F21" s="4">
        <f t="shared" si="6"/>
        <v>37.599966530612249</v>
      </c>
      <c r="G21" s="4">
        <f t="shared" si="6"/>
        <v>39.254972178571435</v>
      </c>
      <c r="H21" s="4">
        <f t="shared" si="6"/>
        <v>40.058227279166672</v>
      </c>
      <c r="I21" s="4">
        <f t="shared" si="6"/>
        <v>41.159310358865746</v>
      </c>
      <c r="J21" s="4">
        <f t="shared" si="6"/>
        <v>46.108014904004641</v>
      </c>
      <c r="K21" s="4">
        <f t="shared" si="6"/>
        <v>48.226079569142513</v>
      </c>
      <c r="L21" s="4">
        <f t="shared" si="7"/>
        <v>367.47485653464901</v>
      </c>
    </row>
    <row r="22" spans="2:12">
      <c r="B22" t="s">
        <v>14</v>
      </c>
      <c r="C22">
        <f t="shared" si="5"/>
        <v>40</v>
      </c>
      <c r="D22">
        <f t="shared" si="8"/>
        <v>38.200000000000003</v>
      </c>
      <c r="E22" s="4">
        <f t="shared" si="6"/>
        <v>36.868285714285719</v>
      </c>
      <c r="F22" s="4">
        <f t="shared" si="6"/>
        <v>37.599966530612249</v>
      </c>
      <c r="G22" s="4">
        <f t="shared" si="6"/>
        <v>39.254972178571435</v>
      </c>
      <c r="H22" s="4">
        <f t="shared" si="6"/>
        <v>40.058227279166672</v>
      </c>
      <c r="I22" s="4">
        <f t="shared" si="6"/>
        <v>41.159310358865746</v>
      </c>
      <c r="J22" s="4">
        <f t="shared" si="6"/>
        <v>45.866565530156485</v>
      </c>
      <c r="K22" s="4">
        <f t="shared" si="6"/>
        <v>50.098622303656406</v>
      </c>
      <c r="L22" s="4">
        <f t="shared" si="7"/>
        <v>369.10594989531472</v>
      </c>
    </row>
    <row r="23" spans="2:12">
      <c r="L23">
        <f t="shared" si="7"/>
        <v>0</v>
      </c>
    </row>
    <row r="24" spans="2:12">
      <c r="B24" t="s">
        <v>24</v>
      </c>
    </row>
  </sheetData>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Charts</vt:lpstr>
      </vt:variant>
      <vt:variant>
        <vt:i4>1</vt:i4>
      </vt:variant>
    </vt:vector>
  </HeadingPairs>
  <TitlesOfParts>
    <vt:vector size="3" baseType="lpstr">
      <vt:lpstr>Sheet1</vt:lpstr>
      <vt:lpstr>Sheet2</vt:lpstr>
      <vt:lpstr>Chart1</vt:lpstr>
    </vt:vector>
  </TitlesOfParts>
  <Company>MMA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Miloff</dc:creator>
  <cp:lastModifiedBy>Michael Miloff</cp:lastModifiedBy>
  <cp:lastPrinted>2015-06-11T19:19:22Z</cp:lastPrinted>
  <dcterms:created xsi:type="dcterms:W3CDTF">2015-03-06T21:04:23Z</dcterms:created>
  <dcterms:modified xsi:type="dcterms:W3CDTF">2015-06-11T19:47:28Z</dcterms:modified>
</cp:coreProperties>
</file>