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AA JCamp 180 Folders\1.0 Programs for Clients\1.70 JCamp180 Annual Conference\2019 Conference\"/>
    </mc:Choice>
  </mc:AlternateContent>
  <xr:revisionPtr revIDLastSave="0" documentId="13_ncr:1_{A7FA2C2B-3714-4D18-A2FB-19AD32B977DD}" xr6:coauthVersionLast="45" xr6:coauthVersionMax="45" xr10:uidLastSave="{00000000-0000-0000-0000-000000000000}"/>
  <bookViews>
    <workbookView xWindow="-72" yWindow="-72" windowWidth="16536" windowHeight="8688" xr2:uid="{00000000-000D-0000-FFFF-FFFF00000000}"/>
  </bookViews>
  <sheets>
    <sheet name="Organization Budget" sheetId="18" r:id="rId1"/>
    <sheet name="Budget Overview" sheetId="17" r:id="rId2"/>
    <sheet name="Budget With Details" sheetId="16" r:id="rId3"/>
    <sheet name="Capital Budget" sheetId="20" r:id="rId4"/>
    <sheet name="Enrollment" sheetId="13" r:id="rId5"/>
    <sheet name="Personnel and Personnel Related" sheetId="3" r:id="rId6"/>
    <sheet name="Program Expenses" sheetId="19" r:id="rId7"/>
    <sheet name="Cash Flow FY 16" sheetId="10" r:id="rId8"/>
  </sheets>
  <definedNames>
    <definedName name="_xlnm.Print_Area" localSheetId="7">'Cash Flow FY 16'!$C$1:$S$32</definedName>
    <definedName name="_xlnm.Print_Area" localSheetId="4">Enrollment!$A$7:$H$48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6" i="17" l="1"/>
  <c r="E66" i="17"/>
  <c r="D66" i="17"/>
  <c r="G66" i="17"/>
  <c r="G67" i="17" s="1"/>
  <c r="H66" i="17"/>
  <c r="I66" i="17"/>
  <c r="D67" i="17"/>
  <c r="L37" i="20"/>
  <c r="K37" i="20"/>
  <c r="J37" i="20"/>
  <c r="J39" i="20" s="1"/>
  <c r="I37" i="20"/>
  <c r="H37" i="20"/>
  <c r="G37" i="20"/>
  <c r="F37" i="20"/>
  <c r="F39" i="20" s="1"/>
  <c r="L17" i="20"/>
  <c r="K17" i="20"/>
  <c r="H65" i="17" s="1"/>
  <c r="H67" i="17" s="1"/>
  <c r="I17" i="20"/>
  <c r="G65" i="17" s="1"/>
  <c r="H17" i="20"/>
  <c r="H39" i="20" s="1"/>
  <c r="G17" i="20"/>
  <c r="E65" i="17" s="1"/>
  <c r="E67" i="17" s="1"/>
  <c r="E68" i="17" s="1"/>
  <c r="F17" i="20"/>
  <c r="D65" i="17"/>
  <c r="L202" i="16"/>
  <c r="K202" i="16"/>
  <c r="J202" i="16"/>
  <c r="I202" i="16"/>
  <c r="H202" i="16"/>
  <c r="G202" i="16"/>
  <c r="F202" i="16"/>
  <c r="F106" i="16"/>
  <c r="I53" i="17"/>
  <c r="H53" i="17"/>
  <c r="G53" i="17"/>
  <c r="F53" i="17"/>
  <c r="E53" i="17"/>
  <c r="D53" i="17"/>
  <c r="L136" i="16"/>
  <c r="K136" i="16"/>
  <c r="J136" i="16"/>
  <c r="I136" i="16"/>
  <c r="H136" i="16"/>
  <c r="G136" i="16"/>
  <c r="F136" i="16"/>
  <c r="I55" i="17"/>
  <c r="I54" i="17"/>
  <c r="I52" i="17"/>
  <c r="I51" i="17"/>
  <c r="I50" i="17"/>
  <c r="I49" i="17"/>
  <c r="I47" i="17"/>
  <c r="I46" i="17"/>
  <c r="I45" i="17"/>
  <c r="I44" i="17"/>
  <c r="I43" i="17"/>
  <c r="I42" i="17"/>
  <c r="I40" i="17"/>
  <c r="I39" i="17"/>
  <c r="I38" i="17"/>
  <c r="I37" i="17"/>
  <c r="I36" i="17"/>
  <c r="I35" i="17"/>
  <c r="I34" i="17"/>
  <c r="I32" i="17"/>
  <c r="H55" i="17"/>
  <c r="H54" i="17"/>
  <c r="H52" i="17"/>
  <c r="H51" i="17"/>
  <c r="H50" i="17"/>
  <c r="H49" i="17"/>
  <c r="H47" i="17"/>
  <c r="H46" i="17"/>
  <c r="H45" i="17"/>
  <c r="H44" i="17"/>
  <c r="H43" i="17"/>
  <c r="H42" i="17"/>
  <c r="H40" i="17"/>
  <c r="H39" i="17"/>
  <c r="H38" i="17"/>
  <c r="H37" i="17"/>
  <c r="H36" i="17"/>
  <c r="H35" i="17"/>
  <c r="H34" i="17"/>
  <c r="H32" i="17"/>
  <c r="G55" i="17"/>
  <c r="F55" i="17"/>
  <c r="E55" i="17"/>
  <c r="G54" i="17"/>
  <c r="F54" i="17"/>
  <c r="E54" i="17"/>
  <c r="G52" i="17"/>
  <c r="F52" i="17"/>
  <c r="E52" i="17"/>
  <c r="G51" i="17"/>
  <c r="F51" i="17"/>
  <c r="E51" i="17"/>
  <c r="G50" i="17"/>
  <c r="F50" i="17"/>
  <c r="E50" i="17"/>
  <c r="G49" i="17"/>
  <c r="F49" i="17"/>
  <c r="E49" i="17"/>
  <c r="G47" i="17"/>
  <c r="F47" i="17"/>
  <c r="E47" i="17"/>
  <c r="G46" i="17"/>
  <c r="F46" i="17"/>
  <c r="E46" i="17"/>
  <c r="G45" i="17"/>
  <c r="F45" i="17"/>
  <c r="E45" i="17"/>
  <c r="G44" i="17"/>
  <c r="F44" i="17"/>
  <c r="E44" i="17"/>
  <c r="G43" i="17"/>
  <c r="F43" i="17"/>
  <c r="E43" i="17"/>
  <c r="G42" i="17"/>
  <c r="F42" i="17"/>
  <c r="E42" i="17"/>
  <c r="G40" i="17"/>
  <c r="F40" i="17"/>
  <c r="E40" i="17"/>
  <c r="G39" i="17"/>
  <c r="F39" i="17"/>
  <c r="E39" i="17"/>
  <c r="G38" i="17"/>
  <c r="F38" i="17"/>
  <c r="E38" i="17"/>
  <c r="G37" i="17"/>
  <c r="F37" i="17"/>
  <c r="E37" i="17"/>
  <c r="G36" i="17"/>
  <c r="F36" i="17"/>
  <c r="E36" i="17"/>
  <c r="G35" i="17"/>
  <c r="F35" i="17"/>
  <c r="E35" i="17"/>
  <c r="G34" i="17"/>
  <c r="F34" i="17"/>
  <c r="E34" i="17"/>
  <c r="G32" i="17"/>
  <c r="F32" i="17"/>
  <c r="E32" i="17"/>
  <c r="D55" i="17"/>
  <c r="D54" i="17"/>
  <c r="D52" i="17"/>
  <c r="D51" i="17"/>
  <c r="D50" i="17"/>
  <c r="D49" i="17"/>
  <c r="D47" i="17"/>
  <c r="D46" i="17"/>
  <c r="D45" i="17"/>
  <c r="D44" i="17"/>
  <c r="D43" i="17"/>
  <c r="D42" i="17"/>
  <c r="D40" i="17"/>
  <c r="D39" i="17"/>
  <c r="D38" i="17"/>
  <c r="D37" i="17"/>
  <c r="D36" i="17"/>
  <c r="D35" i="17"/>
  <c r="L71" i="16"/>
  <c r="K71" i="16"/>
  <c r="J71" i="16"/>
  <c r="I71" i="16"/>
  <c r="H71" i="16"/>
  <c r="G71" i="16"/>
  <c r="F71" i="16"/>
  <c r="D34" i="17"/>
  <c r="D32" i="17"/>
  <c r="I27" i="17"/>
  <c r="I26" i="17"/>
  <c r="I25" i="17"/>
  <c r="I24" i="17"/>
  <c r="I23" i="17"/>
  <c r="I22" i="17"/>
  <c r="I21" i="17"/>
  <c r="I20" i="17"/>
  <c r="I19" i="17"/>
  <c r="I18" i="17"/>
  <c r="I17" i="17"/>
  <c r="H27" i="17"/>
  <c r="H26" i="17"/>
  <c r="H25" i="17"/>
  <c r="H24" i="17"/>
  <c r="H23" i="17"/>
  <c r="H22" i="17"/>
  <c r="H21" i="17"/>
  <c r="H20" i="17"/>
  <c r="H19" i="17"/>
  <c r="H18" i="17"/>
  <c r="H17" i="17"/>
  <c r="G27" i="17"/>
  <c r="F27" i="17"/>
  <c r="E27" i="17"/>
  <c r="G26" i="17"/>
  <c r="F26" i="17"/>
  <c r="E26" i="17"/>
  <c r="G25" i="17"/>
  <c r="F25" i="17"/>
  <c r="E25" i="17"/>
  <c r="G24" i="17"/>
  <c r="F24" i="17"/>
  <c r="E24" i="17"/>
  <c r="G23" i="17"/>
  <c r="F23" i="17"/>
  <c r="E23" i="17"/>
  <c r="G22" i="17"/>
  <c r="F22" i="17"/>
  <c r="E22" i="17"/>
  <c r="G21" i="17"/>
  <c r="F21" i="17"/>
  <c r="E21" i="17"/>
  <c r="G20" i="17"/>
  <c r="F20" i="17"/>
  <c r="E20" i="17"/>
  <c r="G19" i="17"/>
  <c r="F19" i="17"/>
  <c r="E19" i="17"/>
  <c r="G18" i="17"/>
  <c r="F18" i="17"/>
  <c r="E18" i="17"/>
  <c r="G17" i="17"/>
  <c r="F17" i="17"/>
  <c r="E17" i="17"/>
  <c r="L38" i="16"/>
  <c r="K38" i="16"/>
  <c r="J38" i="16"/>
  <c r="I38" i="16"/>
  <c r="H38" i="16"/>
  <c r="G38" i="16"/>
  <c r="F38" i="16"/>
  <c r="D27" i="17"/>
  <c r="D26" i="17"/>
  <c r="D25" i="17"/>
  <c r="D24" i="17"/>
  <c r="D23" i="17"/>
  <c r="D22" i="17"/>
  <c r="D21" i="17"/>
  <c r="D20" i="17"/>
  <c r="D19" i="17"/>
  <c r="D18" i="17"/>
  <c r="D17" i="17"/>
  <c r="D12" i="17"/>
  <c r="D11" i="17"/>
  <c r="L44" i="16"/>
  <c r="L43" i="16"/>
  <c r="L174" i="16"/>
  <c r="H171" i="16"/>
  <c r="H174" i="16" s="1"/>
  <c r="L152" i="16"/>
  <c r="K152" i="16"/>
  <c r="I152" i="16"/>
  <c r="H152" i="16"/>
  <c r="G152" i="16"/>
  <c r="F152" i="16"/>
  <c r="L28" i="16"/>
  <c r="K28" i="16"/>
  <c r="I28" i="16"/>
  <c r="H28" i="16"/>
  <c r="G28" i="16"/>
  <c r="F28" i="16"/>
  <c r="J181" i="16"/>
  <c r="K174" i="16"/>
  <c r="J174" i="16"/>
  <c r="I174" i="16"/>
  <c r="L200" i="16"/>
  <c r="K200" i="16"/>
  <c r="I200" i="16"/>
  <c r="H200" i="16"/>
  <c r="L144" i="16"/>
  <c r="K144" i="16"/>
  <c r="I144" i="16"/>
  <c r="H144" i="16"/>
  <c r="F144" i="16"/>
  <c r="G144" i="16"/>
  <c r="L90" i="16"/>
  <c r="K90" i="16"/>
  <c r="J90" i="16"/>
  <c r="I90" i="16"/>
  <c r="H90" i="16"/>
  <c r="G90" i="16"/>
  <c r="F90" i="16"/>
  <c r="L104" i="16"/>
  <c r="K104" i="16"/>
  <c r="J104" i="16"/>
  <c r="I104" i="16"/>
  <c r="H104" i="16"/>
  <c r="G104" i="16"/>
  <c r="F104" i="16"/>
  <c r="L39" i="20" l="1"/>
  <c r="K39" i="20"/>
  <c r="G39" i="20"/>
  <c r="I65" i="17"/>
  <c r="I67" i="17" s="1"/>
  <c r="F65" i="17"/>
  <c r="F67" i="17" s="1"/>
  <c r="F68" i="17" s="1"/>
  <c r="H68" i="17" s="1"/>
  <c r="I39" i="20"/>
  <c r="D29" i="17"/>
  <c r="J106" i="16"/>
  <c r="J204" i="16" s="1"/>
  <c r="J37" i="19"/>
  <c r="I37" i="19"/>
  <c r="G37" i="19"/>
  <c r="F37" i="19"/>
  <c r="E37" i="19"/>
  <c r="D37" i="19"/>
  <c r="L65" i="16"/>
  <c r="K65" i="16"/>
  <c r="I65" i="16"/>
  <c r="H65" i="16"/>
  <c r="G65" i="16"/>
  <c r="F65" i="16"/>
  <c r="L64" i="16"/>
  <c r="K64" i="16"/>
  <c r="I64" i="16"/>
  <c r="H64" i="16"/>
  <c r="G64" i="16"/>
  <c r="F64" i="16"/>
  <c r="L63" i="16"/>
  <c r="K63" i="16"/>
  <c r="I63" i="16"/>
  <c r="H63" i="16"/>
  <c r="G63" i="16"/>
  <c r="F63" i="16"/>
  <c r="F62" i="16"/>
  <c r="F61" i="16"/>
  <c r="F60" i="16"/>
  <c r="F59" i="16"/>
  <c r="L58" i="16"/>
  <c r="K58" i="16"/>
  <c r="I58" i="16"/>
  <c r="H58" i="16"/>
  <c r="G58" i="16"/>
  <c r="F58" i="16"/>
  <c r="L57" i="16"/>
  <c r="K57" i="16"/>
  <c r="I57" i="16"/>
  <c r="H57" i="16"/>
  <c r="G57" i="16"/>
  <c r="F57" i="16"/>
  <c r="L56" i="16"/>
  <c r="K56" i="16"/>
  <c r="I56" i="16"/>
  <c r="H56" i="16"/>
  <c r="G56" i="16"/>
  <c r="F56" i="16"/>
  <c r="J28" i="19"/>
  <c r="I28" i="19"/>
  <c r="G28" i="19"/>
  <c r="F28" i="19"/>
  <c r="E28" i="19"/>
  <c r="D28" i="19"/>
  <c r="J21" i="19"/>
  <c r="I21" i="19"/>
  <c r="G21" i="19"/>
  <c r="F21" i="19"/>
  <c r="E21" i="19"/>
  <c r="D22" i="19"/>
  <c r="D21" i="19"/>
  <c r="J10" i="19"/>
  <c r="I10" i="19"/>
  <c r="G10" i="19"/>
  <c r="F10" i="19"/>
  <c r="E10" i="19"/>
  <c r="D10" i="19"/>
  <c r="E34" i="16"/>
  <c r="F7" i="16"/>
  <c r="D6" i="17" s="1"/>
  <c r="G7" i="16"/>
  <c r="E6" i="17" s="1"/>
  <c r="H7" i="16"/>
  <c r="F6" i="17" s="1"/>
  <c r="I7" i="16"/>
  <c r="G6" i="17" s="1"/>
  <c r="K7" i="16"/>
  <c r="H6" i="17" s="1"/>
  <c r="L7" i="16"/>
  <c r="I6" i="17" s="1"/>
  <c r="F8" i="16"/>
  <c r="D7" i="17" s="1"/>
  <c r="G8" i="16"/>
  <c r="E7" i="17" s="1"/>
  <c r="H8" i="16"/>
  <c r="F7" i="17" s="1"/>
  <c r="I8" i="16"/>
  <c r="G7" i="17" s="1"/>
  <c r="K8" i="16"/>
  <c r="H7" i="17" s="1"/>
  <c r="L8" i="16"/>
  <c r="I7" i="17" s="1"/>
  <c r="F9" i="16"/>
  <c r="D8" i="17" s="1"/>
  <c r="G9" i="16"/>
  <c r="E8" i="17" s="1"/>
  <c r="H9" i="16"/>
  <c r="F8" i="17" s="1"/>
  <c r="I9" i="16"/>
  <c r="G8" i="17" s="1"/>
  <c r="K9" i="16"/>
  <c r="H8" i="17" s="1"/>
  <c r="L9" i="16"/>
  <c r="I8" i="17" s="1"/>
  <c r="F10" i="16"/>
  <c r="D9" i="17" s="1"/>
  <c r="G10" i="16"/>
  <c r="E9" i="17" s="1"/>
  <c r="H10" i="16"/>
  <c r="F9" i="17" s="1"/>
  <c r="I10" i="16"/>
  <c r="G9" i="17" s="1"/>
  <c r="K10" i="16"/>
  <c r="H9" i="17" s="1"/>
  <c r="L10" i="16"/>
  <c r="I9" i="17" s="1"/>
  <c r="F11" i="16"/>
  <c r="D10" i="17" s="1"/>
  <c r="G11" i="16"/>
  <c r="E10" i="17" s="1"/>
  <c r="H11" i="16"/>
  <c r="F10" i="17" s="1"/>
  <c r="I11" i="16"/>
  <c r="G10" i="17" s="1"/>
  <c r="K11" i="16"/>
  <c r="H10" i="17" s="1"/>
  <c r="L11" i="16"/>
  <c r="I10" i="17" s="1"/>
  <c r="F14" i="16"/>
  <c r="D13" i="17" s="1"/>
  <c r="G14" i="16"/>
  <c r="E13" i="17" s="1"/>
  <c r="H14" i="16"/>
  <c r="F13" i="17" s="1"/>
  <c r="I14" i="16"/>
  <c r="G13" i="17" s="1"/>
  <c r="K14" i="16"/>
  <c r="H13" i="17" s="1"/>
  <c r="L14" i="16"/>
  <c r="I13" i="17" s="1"/>
  <c r="I68" i="17" l="1"/>
  <c r="G196" i="16"/>
  <c r="G200" i="16" s="1"/>
  <c r="F196" i="16"/>
  <c r="F200" i="16" s="1"/>
  <c r="L85" i="16"/>
  <c r="K85" i="16"/>
  <c r="I85" i="16"/>
  <c r="H85" i="16"/>
  <c r="G85" i="16"/>
  <c r="F85" i="16"/>
  <c r="V67" i="3"/>
  <c r="S67" i="3"/>
  <c r="P67" i="3"/>
  <c r="M67" i="3"/>
  <c r="J67" i="3"/>
  <c r="G67" i="3"/>
  <c r="V65" i="3"/>
  <c r="S65" i="3"/>
  <c r="P65" i="3"/>
  <c r="M65" i="3"/>
  <c r="J65" i="3"/>
  <c r="G64" i="3"/>
  <c r="J64" i="3" s="1"/>
  <c r="M64" i="3" s="1"/>
  <c r="P64" i="3" s="1"/>
  <c r="S64" i="3" s="1"/>
  <c r="V64" i="3" s="1"/>
  <c r="V57" i="3"/>
  <c r="V50" i="3"/>
  <c r="V49" i="3"/>
  <c r="V48" i="3"/>
  <c r="V47" i="3"/>
  <c r="S50" i="3"/>
  <c r="S49" i="3"/>
  <c r="S48" i="3"/>
  <c r="S47" i="3"/>
  <c r="P50" i="3"/>
  <c r="P49" i="3"/>
  <c r="P48" i="3"/>
  <c r="P47" i="3"/>
  <c r="M50" i="3"/>
  <c r="M49" i="3"/>
  <c r="M48" i="3"/>
  <c r="M47" i="3"/>
  <c r="J50" i="3"/>
  <c r="J49" i="3"/>
  <c r="J48" i="3"/>
  <c r="J47" i="3"/>
  <c r="G50" i="3"/>
  <c r="G49" i="3"/>
  <c r="G48" i="3"/>
  <c r="G47" i="3"/>
  <c r="V42" i="3"/>
  <c r="S42" i="3"/>
  <c r="P42" i="3"/>
  <c r="M42" i="3"/>
  <c r="J42" i="3"/>
  <c r="G42" i="3"/>
  <c r="G51" i="3" l="1"/>
  <c r="P51" i="3"/>
  <c r="S51" i="3"/>
  <c r="J51" i="3"/>
  <c r="V51" i="3"/>
  <c r="M51" i="3"/>
  <c r="D14" i="18"/>
  <c r="G18" i="18"/>
  <c r="F26" i="18"/>
  <c r="F14" i="18"/>
  <c r="F13" i="18"/>
  <c r="F24" i="18" s="1"/>
  <c r="E21" i="18"/>
  <c r="D21" i="18" s="1"/>
  <c r="E20" i="18"/>
  <c r="E17" i="18"/>
  <c r="E13" i="18"/>
  <c r="G21" i="18"/>
  <c r="G20" i="18"/>
  <c r="G16" i="18"/>
  <c r="E14" i="18"/>
  <c r="E22" i="18"/>
  <c r="D17" i="18"/>
  <c r="H21" i="18"/>
  <c r="H18" i="18"/>
  <c r="H19" i="18"/>
  <c r="H17" i="18"/>
  <c r="H16" i="18"/>
  <c r="H15" i="18"/>
  <c r="D22" i="18"/>
  <c r="D19" i="18"/>
  <c r="D15" i="18"/>
  <c r="H10" i="18"/>
  <c r="G10" i="18"/>
  <c r="F10" i="18"/>
  <c r="E10" i="18"/>
  <c r="D8" i="18"/>
  <c r="D7" i="18"/>
  <c r="D6" i="18"/>
  <c r="D5" i="18"/>
  <c r="D4" i="18"/>
  <c r="D10" i="18" s="1"/>
  <c r="D20" i="18" l="1"/>
  <c r="D16" i="18"/>
  <c r="G24" i="18"/>
  <c r="G26" i="18" s="1"/>
  <c r="D18" i="18"/>
  <c r="E24" i="18"/>
  <c r="E26" i="18" s="1"/>
  <c r="H24" i="18"/>
  <c r="H26" i="18" s="1"/>
  <c r="D13" i="18"/>
  <c r="E39" i="13"/>
  <c r="E40" i="13"/>
  <c r="R6" i="10"/>
  <c r="R146" i="10"/>
  <c r="R145" i="10"/>
  <c r="R141" i="10"/>
  <c r="R140" i="10"/>
  <c r="R139" i="10"/>
  <c r="R138" i="10"/>
  <c r="R137" i="10"/>
  <c r="R136" i="10"/>
  <c r="R135" i="10"/>
  <c r="R134" i="10"/>
  <c r="R133" i="10"/>
  <c r="R131" i="10"/>
  <c r="R124" i="10"/>
  <c r="R123" i="10"/>
  <c r="R122" i="10"/>
  <c r="R121" i="10"/>
  <c r="R120" i="10"/>
  <c r="R117" i="10"/>
  <c r="R98" i="10"/>
  <c r="R97" i="10"/>
  <c r="R96" i="10"/>
  <c r="R95" i="10"/>
  <c r="R94" i="10"/>
  <c r="R92" i="10"/>
  <c r="R87" i="10"/>
  <c r="R86" i="10"/>
  <c r="R85" i="10"/>
  <c r="R84" i="10"/>
  <c r="R83" i="10"/>
  <c r="R82" i="10"/>
  <c r="R80" i="10"/>
  <c r="R66" i="10"/>
  <c r="R60" i="10"/>
  <c r="R51" i="10"/>
  <c r="R32" i="10"/>
  <c r="R27" i="10"/>
  <c r="R17" i="10"/>
  <c r="L76" i="16"/>
  <c r="K76" i="16"/>
  <c r="I76" i="16"/>
  <c r="F40" i="13" l="1"/>
  <c r="G13" i="16"/>
  <c r="E12" i="17" s="1"/>
  <c r="F39" i="13"/>
  <c r="G12" i="16"/>
  <c r="E11" i="17" s="1"/>
  <c r="G93" i="16"/>
  <c r="H93" i="16"/>
  <c r="I93" i="16"/>
  <c r="K93" i="16"/>
  <c r="L93" i="16"/>
  <c r="F93" i="16"/>
  <c r="F28" i="18"/>
  <c r="F29" i="18" s="1"/>
  <c r="H28" i="18"/>
  <c r="H29" i="18" s="1"/>
  <c r="G28" i="18"/>
  <c r="G29" i="18" s="1"/>
  <c r="D24" i="18"/>
  <c r="D26" i="18" s="1"/>
  <c r="R105" i="10"/>
  <c r="R89" i="10"/>
  <c r="R128" i="10"/>
  <c r="R148" i="10"/>
  <c r="R31" i="10"/>
  <c r="R37" i="10" s="1"/>
  <c r="S140" i="10"/>
  <c r="S139" i="10"/>
  <c r="S138" i="10"/>
  <c r="S136" i="10"/>
  <c r="S135" i="10"/>
  <c r="S134" i="10"/>
  <c r="Q126" i="10"/>
  <c r="Q128" i="10" s="1"/>
  <c r="P126" i="10"/>
  <c r="P128" i="10" s="1"/>
  <c r="O126" i="10"/>
  <c r="O128" i="10" s="1"/>
  <c r="S121" i="10"/>
  <c r="Q113" i="10"/>
  <c r="P113" i="10"/>
  <c r="O113" i="10"/>
  <c r="Q112" i="10"/>
  <c r="P112" i="10"/>
  <c r="O112" i="10"/>
  <c r="Q111" i="10"/>
  <c r="P111" i="10"/>
  <c r="O111" i="10"/>
  <c r="Q108" i="10"/>
  <c r="P108" i="10"/>
  <c r="O108" i="10"/>
  <c r="S95" i="10"/>
  <c r="Q87" i="10"/>
  <c r="P87" i="10"/>
  <c r="O87" i="10"/>
  <c r="N87" i="10"/>
  <c r="M87" i="10"/>
  <c r="L87" i="10"/>
  <c r="K87" i="10"/>
  <c r="J87" i="10"/>
  <c r="I87" i="10"/>
  <c r="H87" i="10"/>
  <c r="G87" i="10"/>
  <c r="S86" i="10"/>
  <c r="S85" i="10"/>
  <c r="Q84" i="10"/>
  <c r="P84" i="10"/>
  <c r="O84" i="10"/>
  <c r="N84" i="10"/>
  <c r="M84" i="10"/>
  <c r="L84" i="10"/>
  <c r="K84" i="10"/>
  <c r="J84" i="10"/>
  <c r="I84" i="10"/>
  <c r="H84" i="10"/>
  <c r="G84" i="10"/>
  <c r="Q83" i="10"/>
  <c r="P83" i="10"/>
  <c r="O83" i="10"/>
  <c r="N83" i="10"/>
  <c r="M83" i="10"/>
  <c r="L83" i="10"/>
  <c r="K83" i="10"/>
  <c r="J83" i="10"/>
  <c r="I83" i="10"/>
  <c r="H83" i="10"/>
  <c r="G83" i="10"/>
  <c r="N82" i="10"/>
  <c r="M82" i="10"/>
  <c r="L82" i="10"/>
  <c r="K82" i="10"/>
  <c r="J82" i="10"/>
  <c r="I82" i="10"/>
  <c r="H82" i="10"/>
  <c r="G82" i="10"/>
  <c r="O82" i="10"/>
  <c r="Q82" i="10"/>
  <c r="P82" i="10"/>
  <c r="Q78" i="10"/>
  <c r="P78" i="10"/>
  <c r="O78" i="10"/>
  <c r="N78" i="10"/>
  <c r="M78" i="10"/>
  <c r="L78" i="10"/>
  <c r="Q77" i="10"/>
  <c r="P77" i="10"/>
  <c r="O77" i="10"/>
  <c r="N77" i="10"/>
  <c r="M77" i="10"/>
  <c r="L77" i="10"/>
  <c r="Q76" i="10"/>
  <c r="P76" i="10"/>
  <c r="O76" i="10"/>
  <c r="N76" i="10"/>
  <c r="M76" i="10"/>
  <c r="L76" i="10"/>
  <c r="S76" i="10" s="1"/>
  <c r="Q75" i="10"/>
  <c r="P75" i="10"/>
  <c r="O75" i="10"/>
  <c r="N75" i="10"/>
  <c r="M75" i="10"/>
  <c r="L75" i="10"/>
  <c r="Q74" i="10"/>
  <c r="P74" i="10"/>
  <c r="O74" i="10"/>
  <c r="N74" i="10"/>
  <c r="M74" i="10"/>
  <c r="L74" i="10"/>
  <c r="Q73" i="10"/>
  <c r="P73" i="10"/>
  <c r="O73" i="10"/>
  <c r="N73" i="10"/>
  <c r="M73" i="10"/>
  <c r="L73" i="10"/>
  <c r="Q72" i="10"/>
  <c r="P72" i="10"/>
  <c r="O72" i="10"/>
  <c r="N72" i="10"/>
  <c r="M72" i="10"/>
  <c r="L72" i="10"/>
  <c r="Q71" i="10"/>
  <c r="P71" i="10"/>
  <c r="O71" i="10"/>
  <c r="N71" i="10"/>
  <c r="M71" i="10"/>
  <c r="L71" i="10"/>
  <c r="Q70" i="10"/>
  <c r="P70" i="10"/>
  <c r="O70" i="10"/>
  <c r="N70" i="10"/>
  <c r="M70" i="10"/>
  <c r="L70" i="10"/>
  <c r="Q69" i="10"/>
  <c r="P69" i="10"/>
  <c r="O69" i="10"/>
  <c r="N69" i="10"/>
  <c r="M69" i="10"/>
  <c r="L69" i="10"/>
  <c r="Q68" i="10"/>
  <c r="M68" i="10"/>
  <c r="L68" i="10"/>
  <c r="O68" i="10"/>
  <c r="N68" i="10"/>
  <c r="P68" i="10"/>
  <c r="Q64" i="10"/>
  <c r="P64" i="10"/>
  <c r="O64" i="10"/>
  <c r="Q63" i="10"/>
  <c r="P63" i="10"/>
  <c r="O63" i="10"/>
  <c r="S62" i="10"/>
  <c r="Q58" i="10"/>
  <c r="P58" i="10"/>
  <c r="O58" i="10"/>
  <c r="Q57" i="10"/>
  <c r="P57" i="10"/>
  <c r="O57" i="10"/>
  <c r="Q56" i="10"/>
  <c r="P56" i="10"/>
  <c r="O56" i="10"/>
  <c r="Q55" i="10"/>
  <c r="P55" i="10"/>
  <c r="O55" i="10"/>
  <c r="Q54" i="10"/>
  <c r="P54" i="10"/>
  <c r="O54" i="10"/>
  <c r="Q53" i="10"/>
  <c r="P53" i="10"/>
  <c r="O53" i="10"/>
  <c r="Q49" i="10"/>
  <c r="P49" i="10"/>
  <c r="O49" i="10"/>
  <c r="Q48" i="10"/>
  <c r="P48" i="10"/>
  <c r="O48" i="10"/>
  <c r="Q47" i="10"/>
  <c r="P47" i="10"/>
  <c r="O47" i="10"/>
  <c r="Q46" i="10"/>
  <c r="P46" i="10"/>
  <c r="O46" i="10"/>
  <c r="Q45" i="10"/>
  <c r="P45" i="10"/>
  <c r="O45" i="10"/>
  <c r="Q44" i="10"/>
  <c r="P44" i="10"/>
  <c r="O44" i="10"/>
  <c r="Q43" i="10"/>
  <c r="P43" i="10"/>
  <c r="O43" i="10"/>
  <c r="Q42" i="10"/>
  <c r="P42" i="10"/>
  <c r="O42" i="10"/>
  <c r="Q41" i="10"/>
  <c r="P41" i="10"/>
  <c r="O41" i="10"/>
  <c r="Q40" i="10"/>
  <c r="P40" i="10"/>
  <c r="O40" i="10"/>
  <c r="S38" i="10"/>
  <c r="O28" i="10"/>
  <c r="Q27" i="10"/>
  <c r="P27" i="10"/>
  <c r="O27" i="10"/>
  <c r="N27" i="10"/>
  <c r="M27" i="10"/>
  <c r="M31" i="10" s="1"/>
  <c r="L27" i="10"/>
  <c r="L31" i="10" s="1"/>
  <c r="K27" i="10"/>
  <c r="K31" i="10" s="1"/>
  <c r="J27" i="10"/>
  <c r="J31" i="10" s="1"/>
  <c r="I27" i="10"/>
  <c r="I31" i="10" s="1"/>
  <c r="H27" i="10"/>
  <c r="H31" i="10" s="1"/>
  <c r="G27" i="10"/>
  <c r="G31" i="10" s="1"/>
  <c r="Q32" i="10"/>
  <c r="P32" i="10"/>
  <c r="O32" i="10"/>
  <c r="N32" i="10"/>
  <c r="M32" i="10"/>
  <c r="L32" i="10"/>
  <c r="K32" i="10"/>
  <c r="J32" i="10"/>
  <c r="I32" i="10"/>
  <c r="H32" i="10"/>
  <c r="G32" i="10"/>
  <c r="L46" i="16"/>
  <c r="Q30" i="10"/>
  <c r="P30" i="10"/>
  <c r="O30" i="10"/>
  <c r="Q29" i="10"/>
  <c r="P29" i="10"/>
  <c r="O29" i="10"/>
  <c r="Q28" i="10"/>
  <c r="P28" i="10"/>
  <c r="Q23" i="10"/>
  <c r="S23" i="10" s="1"/>
  <c r="S21" i="10"/>
  <c r="Q16" i="10"/>
  <c r="S16" i="10" s="1"/>
  <c r="Q14" i="10"/>
  <c r="S14" i="10" s="1"/>
  <c r="O12" i="10"/>
  <c r="S12" i="10" s="1"/>
  <c r="O10" i="10"/>
  <c r="S10" i="10" s="1"/>
  <c r="O9" i="10"/>
  <c r="S147" i="10"/>
  <c r="S146" i="10"/>
  <c r="S145" i="10"/>
  <c r="S144" i="10"/>
  <c r="S143" i="10"/>
  <c r="S142" i="10"/>
  <c r="S141" i="10"/>
  <c r="S137" i="10"/>
  <c r="S133" i="10"/>
  <c r="S132" i="10"/>
  <c r="S131" i="10"/>
  <c r="S130" i="10"/>
  <c r="S129" i="10"/>
  <c r="S127" i="10"/>
  <c r="S125" i="10"/>
  <c r="S124" i="10"/>
  <c r="S123" i="10"/>
  <c r="S122" i="10"/>
  <c r="S120" i="10"/>
  <c r="S119" i="10"/>
  <c r="S118" i="10"/>
  <c r="S116" i="10"/>
  <c r="S115" i="10"/>
  <c r="S114" i="10"/>
  <c r="S110" i="10"/>
  <c r="S109" i="10"/>
  <c r="S107" i="10"/>
  <c r="S106" i="10"/>
  <c r="S104" i="10"/>
  <c r="S103" i="10"/>
  <c r="S102" i="10"/>
  <c r="S101" i="10"/>
  <c r="S100" i="10"/>
  <c r="S99" i="10"/>
  <c r="S98" i="10"/>
  <c r="S97" i="10"/>
  <c r="S96" i="10"/>
  <c r="S94" i="10"/>
  <c r="S93" i="10"/>
  <c r="S92" i="10"/>
  <c r="S91" i="10"/>
  <c r="S90" i="10"/>
  <c r="S88" i="10"/>
  <c r="S81" i="10"/>
  <c r="S79" i="10"/>
  <c r="S67" i="10"/>
  <c r="S65" i="10"/>
  <c r="S61" i="10"/>
  <c r="S59" i="10"/>
  <c r="S52" i="10"/>
  <c r="S50" i="10"/>
  <c r="S45" i="10"/>
  <c r="S39" i="10"/>
  <c r="S36" i="10"/>
  <c r="S35" i="10"/>
  <c r="S34" i="10"/>
  <c r="S33" i="10"/>
  <c r="S26" i="10"/>
  <c r="S25" i="10"/>
  <c r="S24" i="10"/>
  <c r="S22" i="10"/>
  <c r="S20" i="10"/>
  <c r="S19" i="10"/>
  <c r="S18" i="10"/>
  <c r="S15" i="10"/>
  <c r="S13" i="10"/>
  <c r="S11" i="10"/>
  <c r="S8" i="10"/>
  <c r="S7" i="10"/>
  <c r="Q148" i="10"/>
  <c r="P148" i="10"/>
  <c r="O148" i="10"/>
  <c r="N148" i="10"/>
  <c r="M148" i="10"/>
  <c r="L148" i="10"/>
  <c r="K148" i="10"/>
  <c r="J148" i="10"/>
  <c r="I148" i="10"/>
  <c r="H148" i="10"/>
  <c r="G148" i="10"/>
  <c r="B148" i="10"/>
  <c r="N128" i="10"/>
  <c r="M128" i="10"/>
  <c r="L128" i="10"/>
  <c r="K128" i="10"/>
  <c r="J128" i="10"/>
  <c r="I128" i="10"/>
  <c r="H128" i="10"/>
  <c r="G128" i="10"/>
  <c r="B128" i="10"/>
  <c r="N117" i="10"/>
  <c r="M117" i="10"/>
  <c r="L117" i="10"/>
  <c r="K117" i="10"/>
  <c r="J117" i="10"/>
  <c r="I117" i="10"/>
  <c r="H117" i="10"/>
  <c r="G117" i="10"/>
  <c r="B117" i="10"/>
  <c r="Q105" i="10"/>
  <c r="P105" i="10"/>
  <c r="O105" i="10"/>
  <c r="N105" i="10"/>
  <c r="M105" i="10"/>
  <c r="L105" i="10"/>
  <c r="K105" i="10"/>
  <c r="J105" i="10"/>
  <c r="I105" i="10"/>
  <c r="H105" i="10"/>
  <c r="G105" i="10"/>
  <c r="B105" i="10"/>
  <c r="B89" i="10"/>
  <c r="K80" i="10"/>
  <c r="J80" i="10"/>
  <c r="I80" i="10"/>
  <c r="H80" i="10"/>
  <c r="G80" i="10"/>
  <c r="B80" i="10"/>
  <c r="N66" i="10"/>
  <c r="M66" i="10"/>
  <c r="L66" i="10"/>
  <c r="K66" i="10"/>
  <c r="J66" i="10"/>
  <c r="I66" i="10"/>
  <c r="H66" i="10"/>
  <c r="G66" i="10"/>
  <c r="B66" i="10"/>
  <c r="N60" i="10"/>
  <c r="M60" i="10"/>
  <c r="L60" i="10"/>
  <c r="K60" i="10"/>
  <c r="J60" i="10"/>
  <c r="I60" i="10"/>
  <c r="H60" i="10"/>
  <c r="G60" i="10"/>
  <c r="B60" i="10"/>
  <c r="N51" i="10"/>
  <c r="M51" i="10"/>
  <c r="L51" i="10"/>
  <c r="K51" i="10"/>
  <c r="J51" i="10"/>
  <c r="I51" i="10"/>
  <c r="H51" i="10"/>
  <c r="G51" i="10"/>
  <c r="B51" i="10"/>
  <c r="B37" i="10"/>
  <c r="P17" i="10"/>
  <c r="N17" i="10"/>
  <c r="M17" i="10"/>
  <c r="L17" i="10"/>
  <c r="K17" i="10"/>
  <c r="J17" i="10"/>
  <c r="I17" i="10"/>
  <c r="H17" i="10"/>
  <c r="G17" i="10"/>
  <c r="B17" i="10"/>
  <c r="G172" i="16"/>
  <c r="G171" i="16"/>
  <c r="G170" i="16"/>
  <c r="L191" i="16"/>
  <c r="K191" i="16"/>
  <c r="I191" i="16"/>
  <c r="H191" i="16"/>
  <c r="G191" i="16"/>
  <c r="F191" i="16"/>
  <c r="L67" i="16"/>
  <c r="K67" i="16"/>
  <c r="I67" i="16"/>
  <c r="H67" i="16"/>
  <c r="G67" i="16"/>
  <c r="F67" i="16"/>
  <c r="E25" i="13"/>
  <c r="E26" i="13"/>
  <c r="E27" i="13"/>
  <c r="E28" i="13"/>
  <c r="E29" i="13"/>
  <c r="C30" i="13"/>
  <c r="H21" i="13"/>
  <c r="G21" i="13"/>
  <c r="F21" i="13"/>
  <c r="D46" i="13"/>
  <c r="D45" i="13"/>
  <c r="E46" i="13"/>
  <c r="T40" i="3"/>
  <c r="T17" i="3"/>
  <c r="T12" i="3"/>
  <c r="H20" i="16"/>
  <c r="H19" i="16"/>
  <c r="G20" i="16"/>
  <c r="G19" i="16"/>
  <c r="I16" i="3"/>
  <c r="J16" i="3" s="1"/>
  <c r="I15" i="3"/>
  <c r="J15" i="3" s="1"/>
  <c r="I14" i="3"/>
  <c r="I11" i="3"/>
  <c r="J11" i="3" s="1"/>
  <c r="I10" i="3"/>
  <c r="J10" i="3" s="1"/>
  <c r="I9" i="3"/>
  <c r="J9" i="3" s="1"/>
  <c r="I8" i="3"/>
  <c r="Q17" i="3"/>
  <c r="Q12" i="3"/>
  <c r="N17" i="3"/>
  <c r="N12" i="3"/>
  <c r="K17" i="3"/>
  <c r="K12" i="3"/>
  <c r="H17" i="3"/>
  <c r="H12" i="3"/>
  <c r="G16" i="3"/>
  <c r="G15" i="3"/>
  <c r="G14" i="3"/>
  <c r="G11" i="3"/>
  <c r="G10" i="3"/>
  <c r="G9" i="3"/>
  <c r="G8" i="3"/>
  <c r="E17" i="3"/>
  <c r="E12" i="3"/>
  <c r="Q40" i="3"/>
  <c r="N40" i="3"/>
  <c r="I39" i="3"/>
  <c r="I38" i="3"/>
  <c r="J38" i="3" s="1"/>
  <c r="I37" i="3"/>
  <c r="J37" i="3" s="1"/>
  <c r="I36" i="3"/>
  <c r="J36" i="3" s="1"/>
  <c r="I35" i="3"/>
  <c r="L35" i="3" s="1"/>
  <c r="O35" i="3" s="1"/>
  <c r="I34" i="3"/>
  <c r="L34" i="3" s="1"/>
  <c r="O34" i="3" s="1"/>
  <c r="I33" i="3"/>
  <c r="J33" i="3" s="1"/>
  <c r="I32" i="3"/>
  <c r="J32" i="3" s="1"/>
  <c r="I31" i="3"/>
  <c r="J31" i="3" s="1"/>
  <c r="I30" i="3"/>
  <c r="J30" i="3" s="1"/>
  <c r="I29" i="3"/>
  <c r="J29" i="3" s="1"/>
  <c r="I28" i="3"/>
  <c r="J28" i="3" s="1"/>
  <c r="I27" i="3"/>
  <c r="J27" i="3" s="1"/>
  <c r="I26" i="3"/>
  <c r="L26" i="3" s="1"/>
  <c r="O26" i="3" s="1"/>
  <c r="I25" i="3"/>
  <c r="J25" i="3" s="1"/>
  <c r="I24" i="3"/>
  <c r="J24" i="3" s="1"/>
  <c r="I23" i="3"/>
  <c r="I22" i="3"/>
  <c r="J22" i="3" s="1"/>
  <c r="I21" i="3"/>
  <c r="J21" i="3" s="1"/>
  <c r="I20" i="3"/>
  <c r="J20" i="3" s="1"/>
  <c r="I19" i="3"/>
  <c r="J19" i="3" s="1"/>
  <c r="K40" i="3"/>
  <c r="H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74" i="16" l="1"/>
  <c r="D47" i="13"/>
  <c r="F18" i="16" s="1"/>
  <c r="G39" i="13"/>
  <c r="I12" i="16" s="1"/>
  <c r="G11" i="17" s="1"/>
  <c r="H12" i="16"/>
  <c r="F11" i="17" s="1"/>
  <c r="H39" i="13"/>
  <c r="G40" i="13"/>
  <c r="I13" i="16" s="1"/>
  <c r="G12" i="17" s="1"/>
  <c r="H13" i="16"/>
  <c r="F12" i="17" s="1"/>
  <c r="H40" i="13"/>
  <c r="K13" i="16" s="1"/>
  <c r="H12" i="17" s="1"/>
  <c r="L19" i="3"/>
  <c r="M19" i="3" s="1"/>
  <c r="L15" i="3"/>
  <c r="M15" i="3" s="1"/>
  <c r="G17" i="3"/>
  <c r="F44" i="16" s="1"/>
  <c r="L11" i="3"/>
  <c r="L9" i="3"/>
  <c r="M9" i="3" s="1"/>
  <c r="L16" i="3"/>
  <c r="L10" i="3"/>
  <c r="L8" i="3"/>
  <c r="J8" i="3"/>
  <c r="J12" i="3" s="1"/>
  <c r="G42" i="16" s="1"/>
  <c r="L14" i="3"/>
  <c r="J14" i="3"/>
  <c r="J17" i="3" s="1"/>
  <c r="G44" i="16" s="1"/>
  <c r="J23" i="3"/>
  <c r="L23" i="3"/>
  <c r="O23" i="3" s="1"/>
  <c r="R23" i="3" s="1"/>
  <c r="J39" i="3"/>
  <c r="L39" i="3"/>
  <c r="O39" i="3" s="1"/>
  <c r="R39" i="3" s="1"/>
  <c r="E30" i="13"/>
  <c r="Q31" i="10"/>
  <c r="Q37" i="10" s="1"/>
  <c r="Q151" i="10" s="1"/>
  <c r="S41" i="10"/>
  <c r="S43" i="10"/>
  <c r="S47" i="10"/>
  <c r="S49" i="10"/>
  <c r="S54" i="10"/>
  <c r="P60" i="10"/>
  <c r="S58" i="10"/>
  <c r="O66" i="10"/>
  <c r="S64" i="10"/>
  <c r="S69" i="10"/>
  <c r="S70" i="10"/>
  <c r="S71" i="10"/>
  <c r="S72" i="10"/>
  <c r="S73" i="10"/>
  <c r="S74" i="10"/>
  <c r="S75" i="10"/>
  <c r="S77" i="10"/>
  <c r="S78" i="10"/>
  <c r="H89" i="10"/>
  <c r="L89" i="10"/>
  <c r="S113" i="10"/>
  <c r="Q51" i="10"/>
  <c r="S42" i="10"/>
  <c r="S46" i="10"/>
  <c r="M80" i="10"/>
  <c r="Q60" i="10"/>
  <c r="S148" i="10"/>
  <c r="Q17" i="10"/>
  <c r="S84" i="10"/>
  <c r="S83" i="10"/>
  <c r="S87" i="10"/>
  <c r="O117" i="10"/>
  <c r="S111" i="10"/>
  <c r="S112" i="10"/>
  <c r="K89" i="10"/>
  <c r="G89" i="10"/>
  <c r="S89" i="10" s="1"/>
  <c r="S63" i="10"/>
  <c r="P89" i="10"/>
  <c r="O51" i="10"/>
  <c r="H37" i="10"/>
  <c r="H151" i="10" s="1"/>
  <c r="P31" i="10"/>
  <c r="S40" i="10"/>
  <c r="P51" i="10"/>
  <c r="S44" i="10"/>
  <c r="S48" i="10"/>
  <c r="O60" i="10"/>
  <c r="S60" i="10" s="1"/>
  <c r="J89" i="10"/>
  <c r="N89" i="10"/>
  <c r="R151" i="10"/>
  <c r="R153" i="10" s="1"/>
  <c r="O89" i="10"/>
  <c r="S55" i="10"/>
  <c r="O80" i="10"/>
  <c r="S29" i="10"/>
  <c r="S30" i="10"/>
  <c r="G37" i="10"/>
  <c r="O31" i="10"/>
  <c r="O37" i="10" s="1"/>
  <c r="S53" i="10"/>
  <c r="S56" i="10"/>
  <c r="S57" i="10"/>
  <c r="Q66" i="10"/>
  <c r="I89" i="10"/>
  <c r="M89" i="10"/>
  <c r="Q89" i="10"/>
  <c r="S108" i="10"/>
  <c r="S126" i="10"/>
  <c r="S128" i="10"/>
  <c r="P117" i="10"/>
  <c r="Q117" i="10"/>
  <c r="S105" i="10"/>
  <c r="S82" i="10"/>
  <c r="L80" i="10"/>
  <c r="N80" i="10"/>
  <c r="P80" i="10"/>
  <c r="Q80" i="10"/>
  <c r="S68" i="10"/>
  <c r="P66" i="10"/>
  <c r="J37" i="10"/>
  <c r="J151" i="10" s="1"/>
  <c r="S27" i="10"/>
  <c r="N31" i="10"/>
  <c r="N37" i="10" s="1"/>
  <c r="I37" i="10"/>
  <c r="I151" i="10" s="1"/>
  <c r="M37" i="10"/>
  <c r="M151" i="10" s="1"/>
  <c r="S32" i="10"/>
  <c r="P37" i="10"/>
  <c r="K37" i="10"/>
  <c r="L37" i="10"/>
  <c r="S28" i="10"/>
  <c r="B151" i="10"/>
  <c r="J35" i="3"/>
  <c r="D42" i="13"/>
  <c r="F15" i="16" s="1"/>
  <c r="D14" i="17" s="1"/>
  <c r="P35" i="3"/>
  <c r="R35" i="3"/>
  <c r="P26" i="3"/>
  <c r="R26" i="3"/>
  <c r="P34" i="3"/>
  <c r="R34" i="3"/>
  <c r="J34" i="3"/>
  <c r="J26" i="3"/>
  <c r="L27" i="3"/>
  <c r="O27" i="3" s="1"/>
  <c r="L31" i="3"/>
  <c r="O31" i="3" s="1"/>
  <c r="L20" i="3"/>
  <c r="O20" i="3" s="1"/>
  <c r="L24" i="3"/>
  <c r="O24" i="3" s="1"/>
  <c r="L28" i="3"/>
  <c r="O28" i="3" s="1"/>
  <c r="L32" i="3"/>
  <c r="O32" i="3" s="1"/>
  <c r="L36" i="3"/>
  <c r="O36" i="3" s="1"/>
  <c r="M26" i="3"/>
  <c r="M34" i="3"/>
  <c r="L37" i="3"/>
  <c r="O37" i="3" s="1"/>
  <c r="L33" i="3"/>
  <c r="O33" i="3" s="1"/>
  <c r="L38" i="3"/>
  <c r="O38" i="3" s="1"/>
  <c r="L21" i="3"/>
  <c r="O21" i="3" s="1"/>
  <c r="L25" i="3"/>
  <c r="O25" i="3" s="1"/>
  <c r="L29" i="3"/>
  <c r="O29" i="3" s="1"/>
  <c r="L22" i="3"/>
  <c r="O22" i="3" s="1"/>
  <c r="L30" i="3"/>
  <c r="O30" i="3" s="1"/>
  <c r="M31" i="3"/>
  <c r="M35" i="3"/>
  <c r="F99" i="16"/>
  <c r="F35" i="16" l="1"/>
  <c r="F33" i="16"/>
  <c r="F34" i="16"/>
  <c r="F32" i="16"/>
  <c r="K12" i="16"/>
  <c r="H11" i="17" s="1"/>
  <c r="I39" i="13"/>
  <c r="L12" i="16" s="1"/>
  <c r="I11" i="17" s="1"/>
  <c r="O15" i="3"/>
  <c r="O19" i="3"/>
  <c r="R19" i="3" s="1"/>
  <c r="M23" i="3"/>
  <c r="P23" i="3"/>
  <c r="O9" i="3"/>
  <c r="P9" i="3" s="1"/>
  <c r="J40" i="3"/>
  <c r="G43" i="16" s="1"/>
  <c r="G46" i="16" s="1"/>
  <c r="M16" i="3"/>
  <c r="O16" i="3"/>
  <c r="M11" i="3"/>
  <c r="O11" i="3"/>
  <c r="P39" i="3"/>
  <c r="M10" i="3"/>
  <c r="O10" i="3"/>
  <c r="P15" i="3"/>
  <c r="R15" i="3"/>
  <c r="O14" i="3"/>
  <c r="M14" i="3"/>
  <c r="U39" i="3"/>
  <c r="V39" i="3" s="1"/>
  <c r="S39" i="3"/>
  <c r="M39" i="3"/>
  <c r="O8" i="3"/>
  <c r="M8" i="3"/>
  <c r="S34" i="3"/>
  <c r="U34" i="3"/>
  <c r="V34" i="3" s="1"/>
  <c r="S23" i="3"/>
  <c r="U23" i="3"/>
  <c r="V23" i="3" s="1"/>
  <c r="G151" i="10"/>
  <c r="G153" i="10" s="1"/>
  <c r="H6" i="10" s="1"/>
  <c r="H153" i="10" s="1"/>
  <c r="I6" i="10" s="1"/>
  <c r="I153" i="10" s="1"/>
  <c r="J6" i="10" s="1"/>
  <c r="J153" i="10" s="1"/>
  <c r="K6" i="10" s="1"/>
  <c r="K153" i="10" s="1"/>
  <c r="L6" i="10" s="1"/>
  <c r="L153" i="10" s="1"/>
  <c r="M6" i="10" s="1"/>
  <c r="M153" i="10" s="1"/>
  <c r="N6" i="10" s="1"/>
  <c r="N153" i="10" s="1"/>
  <c r="O6" i="10" s="1"/>
  <c r="K151" i="10"/>
  <c r="S66" i="10"/>
  <c r="O151" i="10"/>
  <c r="N151" i="10"/>
  <c r="S117" i="10"/>
  <c r="S51" i="10"/>
  <c r="L151" i="10"/>
  <c r="P151" i="10"/>
  <c r="S80" i="10"/>
  <c r="S31" i="10"/>
  <c r="S37" i="10"/>
  <c r="S35" i="3"/>
  <c r="U35" i="3"/>
  <c r="V35" i="3" s="1"/>
  <c r="U26" i="3"/>
  <c r="S26" i="3"/>
  <c r="I40" i="13"/>
  <c r="L13" i="16" s="1"/>
  <c r="I12" i="17" s="1"/>
  <c r="F46" i="13"/>
  <c r="H29" i="17"/>
  <c r="G29" i="17"/>
  <c r="E29" i="17"/>
  <c r="P30" i="3"/>
  <c r="R30" i="3"/>
  <c r="R28" i="3"/>
  <c r="P28" i="3"/>
  <c r="R25" i="3"/>
  <c r="P25" i="3"/>
  <c r="R37" i="3"/>
  <c r="P37" i="3"/>
  <c r="R32" i="3"/>
  <c r="P32" i="3"/>
  <c r="P31" i="3"/>
  <c r="R31" i="3"/>
  <c r="R27" i="3"/>
  <c r="P27" i="3"/>
  <c r="P22" i="3"/>
  <c r="R22" i="3"/>
  <c r="P38" i="3"/>
  <c r="R38" i="3"/>
  <c r="R24" i="3"/>
  <c r="P24" i="3"/>
  <c r="R21" i="3"/>
  <c r="O40" i="3"/>
  <c r="P21" i="3"/>
  <c r="M27" i="3"/>
  <c r="R29" i="3"/>
  <c r="P29" i="3"/>
  <c r="R33" i="3"/>
  <c r="P33" i="3"/>
  <c r="R36" i="3"/>
  <c r="P36" i="3"/>
  <c r="P20" i="3"/>
  <c r="R20" i="3"/>
  <c r="M36" i="3"/>
  <c r="M20" i="3"/>
  <c r="M32" i="3"/>
  <c r="M28" i="3"/>
  <c r="M24" i="3"/>
  <c r="M30" i="3"/>
  <c r="M22" i="3"/>
  <c r="M38" i="3"/>
  <c r="M25" i="3"/>
  <c r="M37" i="3"/>
  <c r="M21" i="3"/>
  <c r="M29" i="3"/>
  <c r="M33" i="3"/>
  <c r="F172" i="16"/>
  <c r="F171" i="16"/>
  <c r="F170" i="16"/>
  <c r="L167" i="16"/>
  <c r="K167" i="16"/>
  <c r="I167" i="16"/>
  <c r="H167" i="16"/>
  <c r="G167" i="16"/>
  <c r="F167" i="16"/>
  <c r="F131" i="16"/>
  <c r="G121" i="16"/>
  <c r="F121" i="16"/>
  <c r="H79" i="16"/>
  <c r="G79" i="16"/>
  <c r="F79" i="16"/>
  <c r="L79" i="16"/>
  <c r="K79" i="16"/>
  <c r="I79" i="16"/>
  <c r="G99" i="16"/>
  <c r="L50" i="16"/>
  <c r="K50" i="16"/>
  <c r="I50" i="16"/>
  <c r="L49" i="16"/>
  <c r="K49" i="16"/>
  <c r="I49" i="16"/>
  <c r="L48" i="16"/>
  <c r="K48" i="16"/>
  <c r="I48" i="16"/>
  <c r="L45" i="16"/>
  <c r="K45" i="16"/>
  <c r="I45" i="16"/>
  <c r="K20" i="16"/>
  <c r="L20" i="16" s="1"/>
  <c r="F20" i="16"/>
  <c r="F19" i="16"/>
  <c r="F177" i="16" s="1"/>
  <c r="F181" i="16" s="1"/>
  <c r="F29" i="17" l="1"/>
  <c r="F36" i="16"/>
  <c r="F174" i="16"/>
  <c r="L106" i="16"/>
  <c r="I106" i="16"/>
  <c r="G106" i="16"/>
  <c r="K106" i="16"/>
  <c r="H106" i="16"/>
  <c r="M17" i="3"/>
  <c r="H44" i="16" s="1"/>
  <c r="P19" i="3"/>
  <c r="G52" i="16"/>
  <c r="M12" i="3"/>
  <c r="H42" i="16" s="1"/>
  <c r="R9" i="3"/>
  <c r="S9" i="3" s="1"/>
  <c r="R16" i="3"/>
  <c r="P16" i="3"/>
  <c r="R11" i="3"/>
  <c r="P11" i="3"/>
  <c r="R10" i="3"/>
  <c r="P10" i="3"/>
  <c r="S38" i="3"/>
  <c r="U38" i="3"/>
  <c r="V38" i="3" s="1"/>
  <c r="S36" i="3"/>
  <c r="U36" i="3"/>
  <c r="V36" i="3" s="1"/>
  <c r="U21" i="3"/>
  <c r="V21" i="3" s="1"/>
  <c r="S21" i="3"/>
  <c r="S32" i="3"/>
  <c r="U32" i="3"/>
  <c r="V32" i="3" s="1"/>
  <c r="P8" i="3"/>
  <c r="R8" i="3"/>
  <c r="P14" i="3"/>
  <c r="R14" i="3"/>
  <c r="U33" i="3"/>
  <c r="V33" i="3" s="1"/>
  <c r="S33" i="3"/>
  <c r="S28" i="3"/>
  <c r="U28" i="3"/>
  <c r="V28" i="3" s="1"/>
  <c r="U15" i="3"/>
  <c r="V15" i="3" s="1"/>
  <c r="S15" i="3"/>
  <c r="U37" i="3"/>
  <c r="V37" i="3" s="1"/>
  <c r="S37" i="3"/>
  <c r="S31" i="3"/>
  <c r="U31" i="3"/>
  <c r="V31" i="3" s="1"/>
  <c r="U30" i="3"/>
  <c r="V30" i="3" s="1"/>
  <c r="S30" i="3"/>
  <c r="U29" i="3"/>
  <c r="V29" i="3" s="1"/>
  <c r="S29" i="3"/>
  <c r="S25" i="3"/>
  <c r="U25" i="3"/>
  <c r="V25" i="3" s="1"/>
  <c r="U24" i="3"/>
  <c r="V24" i="3" s="1"/>
  <c r="S24" i="3"/>
  <c r="U22" i="3"/>
  <c r="V22" i="3" s="1"/>
  <c r="S22" i="3"/>
  <c r="U20" i="3"/>
  <c r="V20" i="3" s="1"/>
  <c r="S20" i="3"/>
  <c r="U19" i="3"/>
  <c r="V19" i="3" s="1"/>
  <c r="S19" i="3"/>
  <c r="U27" i="3"/>
  <c r="V27" i="3" s="1"/>
  <c r="S27" i="3"/>
  <c r="P40" i="3"/>
  <c r="I43" i="16" s="1"/>
  <c r="V26" i="3"/>
  <c r="R40" i="3"/>
  <c r="M40" i="3"/>
  <c r="H43" i="16" s="1"/>
  <c r="L52" i="16"/>
  <c r="I29" i="17" l="1"/>
  <c r="P17" i="3"/>
  <c r="I44" i="16" s="1"/>
  <c r="U9" i="3"/>
  <c r="V9" i="3" s="1"/>
  <c r="P12" i="3"/>
  <c r="I42" i="16" s="1"/>
  <c r="S11" i="3"/>
  <c r="U11" i="3"/>
  <c r="V11" i="3" s="1"/>
  <c r="S10" i="3"/>
  <c r="U10" i="3"/>
  <c r="V10" i="3" s="1"/>
  <c r="S16" i="3"/>
  <c r="U16" i="3"/>
  <c r="V16" i="3" s="1"/>
  <c r="U14" i="3"/>
  <c r="V14" i="3" s="1"/>
  <c r="S14" i="3"/>
  <c r="U8" i="3"/>
  <c r="V8" i="3" s="1"/>
  <c r="S8" i="3"/>
  <c r="H46" i="16"/>
  <c r="H52" i="16" s="1"/>
  <c r="S40" i="3"/>
  <c r="K43" i="16" s="1"/>
  <c r="V40" i="3"/>
  <c r="U40" i="3"/>
  <c r="E29" i="10"/>
  <c r="D23" i="10"/>
  <c r="F6" i="13"/>
  <c r="D6" i="13"/>
  <c r="F5" i="13"/>
  <c r="G5" i="13" s="1"/>
  <c r="H5" i="13" s="1"/>
  <c r="I5" i="13" s="1"/>
  <c r="D5" i="13"/>
  <c r="F4" i="13"/>
  <c r="G4" i="13" s="1"/>
  <c r="H4" i="13" s="1"/>
  <c r="I4" i="13" s="1"/>
  <c r="D4" i="13"/>
  <c r="E31" i="10"/>
  <c r="E40" i="3"/>
  <c r="G61" i="3"/>
  <c r="G55" i="3"/>
  <c r="J55" i="3" s="1"/>
  <c r="M55" i="3" s="1"/>
  <c r="P55" i="3" s="1"/>
  <c r="S55" i="3" s="1"/>
  <c r="V55" i="3" s="1"/>
  <c r="G62" i="3"/>
  <c r="J62" i="3" s="1"/>
  <c r="M62" i="3" s="1"/>
  <c r="P62" i="3" s="1"/>
  <c r="S62" i="3" s="1"/>
  <c r="V62" i="3" s="1"/>
  <c r="G63" i="3"/>
  <c r="G56" i="3"/>
  <c r="J56" i="3" s="1"/>
  <c r="M56" i="3" s="1"/>
  <c r="P56" i="3" s="1"/>
  <c r="S56" i="3" s="1"/>
  <c r="V56" i="3" s="1"/>
  <c r="B60" i="3"/>
  <c r="G12" i="3"/>
  <c r="F42" i="16" s="1"/>
  <c r="D40" i="3"/>
  <c r="G65" i="3" l="1"/>
  <c r="J54" i="3"/>
  <c r="G57" i="3"/>
  <c r="I46" i="16"/>
  <c r="I52" i="16" s="1"/>
  <c r="V12" i="3"/>
  <c r="V17" i="3"/>
  <c r="S12" i="3"/>
  <c r="K42" i="16" s="1"/>
  <c r="J61" i="3"/>
  <c r="M61" i="3" s="1"/>
  <c r="F47" i="16"/>
  <c r="S17" i="3"/>
  <c r="K44" i="16" s="1"/>
  <c r="G1" i="13"/>
  <c r="G2" i="13" s="1"/>
  <c r="E45" i="13"/>
  <c r="G60" i="3"/>
  <c r="J60" i="3" s="1"/>
  <c r="M60" i="3" s="1"/>
  <c r="P60" i="3" s="1"/>
  <c r="S60" i="3" s="1"/>
  <c r="V60" i="3" s="1"/>
  <c r="E32" i="10"/>
  <c r="D25" i="10"/>
  <c r="D17" i="10"/>
  <c r="G40" i="3"/>
  <c r="F43" i="16" s="1"/>
  <c r="E42" i="13" l="1"/>
  <c r="G15" i="16" s="1"/>
  <c r="E14" i="17" s="1"/>
  <c r="E47" i="13"/>
  <c r="G18" i="16" s="1"/>
  <c r="G177" i="16" s="1"/>
  <c r="G181" i="16" s="1"/>
  <c r="M54" i="3"/>
  <c r="J57" i="3"/>
  <c r="K46" i="16"/>
  <c r="K52" i="16" s="1"/>
  <c r="F46" i="16"/>
  <c r="F52" i="16" s="1"/>
  <c r="F204" i="16" s="1"/>
  <c r="F206" i="16" s="1"/>
  <c r="H1" i="13"/>
  <c r="I1" i="13" s="1"/>
  <c r="I2" i="13" s="1"/>
  <c r="F45" i="13"/>
  <c r="P61" i="3"/>
  <c r="L40" i="3"/>
  <c r="D18" i="10"/>
  <c r="G204" i="16" l="1"/>
  <c r="D57" i="17"/>
  <c r="D59" i="17" s="1"/>
  <c r="F42" i="13"/>
  <c r="H15" i="16" s="1"/>
  <c r="F14" i="17" s="1"/>
  <c r="F47" i="13"/>
  <c r="H18" i="16" s="1"/>
  <c r="G33" i="16"/>
  <c r="G32" i="16"/>
  <c r="G34" i="16"/>
  <c r="G35" i="16"/>
  <c r="P54" i="3"/>
  <c r="M57" i="3"/>
  <c r="H2" i="13"/>
  <c r="G45" i="13"/>
  <c r="G46" i="13"/>
  <c r="S61" i="3"/>
  <c r="D11" i="10"/>
  <c r="E57" i="17" l="1"/>
  <c r="G36" i="16"/>
  <c r="H177" i="16" s="1"/>
  <c r="H181" i="16" s="1"/>
  <c r="G47" i="13"/>
  <c r="I18" i="16" s="1"/>
  <c r="H32" i="16"/>
  <c r="H35" i="16"/>
  <c r="H33" i="16"/>
  <c r="H34" i="16"/>
  <c r="S54" i="3"/>
  <c r="P57" i="3"/>
  <c r="V61" i="3"/>
  <c r="H46" i="13"/>
  <c r="H45" i="13"/>
  <c r="G42" i="13"/>
  <c r="I15" i="16" s="1"/>
  <c r="G14" i="17" s="1"/>
  <c r="D13" i="10"/>
  <c r="E59" i="17" l="1"/>
  <c r="H204" i="16"/>
  <c r="H36" i="16"/>
  <c r="I177" i="16" s="1"/>
  <c r="I181" i="16" s="1"/>
  <c r="H47" i="13"/>
  <c r="K18" i="16" s="1"/>
  <c r="I35" i="16"/>
  <c r="I33" i="16"/>
  <c r="I34" i="16"/>
  <c r="I32" i="16"/>
  <c r="I36" i="16" s="1"/>
  <c r="V54" i="3"/>
  <c r="S57" i="3"/>
  <c r="H42" i="13"/>
  <c r="K15" i="16" s="1"/>
  <c r="H14" i="17" s="1"/>
  <c r="I46" i="13"/>
  <c r="I45" i="13"/>
  <c r="D12" i="10"/>
  <c r="D14" i="10"/>
  <c r="F57" i="17" l="1"/>
  <c r="I204" i="16"/>
  <c r="K35" i="16"/>
  <c r="K177" i="16"/>
  <c r="K181" i="16" s="1"/>
  <c r="K33" i="16"/>
  <c r="K32" i="16"/>
  <c r="K34" i="16"/>
  <c r="I47" i="13"/>
  <c r="L18" i="16" s="1"/>
  <c r="I42" i="13"/>
  <c r="L15" i="16" s="1"/>
  <c r="I14" i="17" s="1"/>
  <c r="D15" i="10"/>
  <c r="F59" i="17" l="1"/>
  <c r="G57" i="17"/>
  <c r="K204" i="16"/>
  <c r="L32" i="16"/>
  <c r="K36" i="16"/>
  <c r="L177" i="16" s="1"/>
  <c r="L181" i="16" s="1"/>
  <c r="L34" i="16"/>
  <c r="L35" i="16"/>
  <c r="L33" i="16"/>
  <c r="D20" i="10"/>
  <c r="G59" i="17" l="1"/>
  <c r="H57" i="17"/>
  <c r="L204" i="16"/>
  <c r="L36" i="16"/>
  <c r="G206" i="16"/>
  <c r="H59" i="17" l="1"/>
  <c r="I57" i="17"/>
  <c r="I59" i="17" s="1"/>
  <c r="I206" i="16"/>
  <c r="H206" i="16"/>
  <c r="K206" i="16" l="1"/>
  <c r="S9" i="10"/>
  <c r="O17" i="10"/>
  <c r="O153" i="10" s="1"/>
  <c r="P6" i="10" s="1"/>
  <c r="P153" i="10" s="1"/>
  <c r="Q6" i="10" s="1"/>
  <c r="Q153" i="10" s="1"/>
  <c r="L206" i="16" l="1"/>
  <c r="S17" i="10"/>
  <c r="D58" i="3"/>
</calcChain>
</file>

<file path=xl/sharedStrings.xml><?xml version="1.0" encoding="utf-8"?>
<sst xmlns="http://schemas.openxmlformats.org/spreadsheetml/2006/main" count="884" uniqueCount="540">
  <si>
    <t>Status</t>
  </si>
  <si>
    <t>Category</t>
  </si>
  <si>
    <t>Position</t>
  </si>
  <si>
    <t>Full</t>
  </si>
  <si>
    <t>Admin</t>
  </si>
  <si>
    <t>Administrator</t>
  </si>
  <si>
    <t>Registrar</t>
  </si>
  <si>
    <t>Part</t>
  </si>
  <si>
    <t>Bookkeeper</t>
  </si>
  <si>
    <t>Site Manager</t>
  </si>
  <si>
    <t>Maintenance</t>
  </si>
  <si>
    <t>Security</t>
  </si>
  <si>
    <t>Camp</t>
  </si>
  <si>
    <t>Seasonal</t>
  </si>
  <si>
    <t>Office Assistant</t>
  </si>
  <si>
    <t>Ropes Director</t>
  </si>
  <si>
    <t>Ropes</t>
  </si>
  <si>
    <t xml:space="preserve">Drama </t>
  </si>
  <si>
    <t>Teva</t>
  </si>
  <si>
    <t>Car insurance</t>
  </si>
  <si>
    <t>Moving</t>
  </si>
  <si>
    <t>Tuition</t>
  </si>
  <si>
    <t>Cell phone</t>
  </si>
  <si>
    <t>Contributions</t>
  </si>
  <si>
    <t>Payroll Taxes</t>
  </si>
  <si>
    <t>Transportation</t>
  </si>
  <si>
    <t>Contingency</t>
  </si>
  <si>
    <t>PAYROLL Worksheet</t>
  </si>
  <si>
    <t>Assumptions</t>
  </si>
  <si>
    <t xml:space="preserve">Subtotal </t>
  </si>
  <si>
    <t>per contract 5% increases thereafter</t>
  </si>
  <si>
    <t>5% increases</t>
  </si>
  <si>
    <t>Subtotal</t>
  </si>
  <si>
    <t>Salaried employee - 5% inc</t>
  </si>
  <si>
    <t>CPI</t>
  </si>
  <si>
    <t>original</t>
  </si>
  <si>
    <t>Benefits</t>
  </si>
  <si>
    <t>5% adjusments all way</t>
  </si>
  <si>
    <t>Food</t>
  </si>
  <si>
    <t>Revenue</t>
  </si>
  <si>
    <t>Camper/week</t>
  </si>
  <si>
    <t>Weeks</t>
  </si>
  <si>
    <t>Revenue/week</t>
  </si>
  <si>
    <t>Camper weeks</t>
  </si>
  <si>
    <t>Pool</t>
  </si>
  <si>
    <t>Insurance</t>
  </si>
  <si>
    <t>Camper Weeks</t>
  </si>
  <si>
    <t>Per 3 Week Session</t>
  </si>
  <si>
    <t>Expense</t>
  </si>
  <si>
    <t>Art &amp; Ceramics (2)</t>
  </si>
  <si>
    <t>Lifeguards/Sports (8)</t>
  </si>
  <si>
    <t>Chinuch (4)</t>
  </si>
  <si>
    <t>Annual</t>
  </si>
  <si>
    <t>Oct</t>
  </si>
  <si>
    <t>Nov</t>
  </si>
  <si>
    <t>Dec</t>
  </si>
  <si>
    <t>Jan</t>
  </si>
  <si>
    <t xml:space="preserve">Feb </t>
  </si>
  <si>
    <t>Mar</t>
  </si>
  <si>
    <t>Apr</t>
  </si>
  <si>
    <t xml:space="preserve">May </t>
  </si>
  <si>
    <t xml:space="preserve">June </t>
  </si>
  <si>
    <t xml:space="preserve">July </t>
  </si>
  <si>
    <t>Aug</t>
  </si>
  <si>
    <t>Total</t>
  </si>
  <si>
    <t>12 Month Cash Flow Statement</t>
  </si>
  <si>
    <t>Starting</t>
  </si>
  <si>
    <t>Month</t>
  </si>
  <si>
    <t>Year</t>
  </si>
  <si>
    <t>12 Month</t>
  </si>
  <si>
    <t>Camp Revenue Table</t>
  </si>
  <si>
    <t># Campers</t>
  </si>
  <si>
    <t xml:space="preserve">Camp XYZ Budget </t>
  </si>
  <si>
    <t>2016-17</t>
  </si>
  <si>
    <t>2017-18</t>
  </si>
  <si>
    <t>2018-19</t>
  </si>
  <si>
    <t>ACTUAL</t>
  </si>
  <si>
    <t>Full tuition annual increase</t>
  </si>
  <si>
    <t>Site Rentals (Shabbatons; April, May, June, Sept &amp; Oct)</t>
  </si>
  <si>
    <t>Tuition Discounts (includes scholarships)</t>
  </si>
  <si>
    <t>Total Revenue:</t>
  </si>
  <si>
    <t>Year Round Staff</t>
  </si>
  <si>
    <t>Counselors</t>
  </si>
  <si>
    <t>Key Staff ( &gt; $3,000)</t>
  </si>
  <si>
    <t>Director's Auto Insurance</t>
  </si>
  <si>
    <t>Staff To/From Transportation</t>
  </si>
  <si>
    <t>Training</t>
  </si>
  <si>
    <t>Staff Gifts</t>
  </si>
  <si>
    <t>--------------------------------------------------</t>
  </si>
  <si>
    <t>Total Personnel &amp; Personnel Related</t>
  </si>
  <si>
    <t>Camper Program</t>
  </si>
  <si>
    <t>Arts &amp; Crafts</t>
  </si>
  <si>
    <t>Water Sports</t>
  </si>
  <si>
    <t>Hiking &amp; Camping</t>
  </si>
  <si>
    <t>Farming &amp; Environmental</t>
  </si>
  <si>
    <t>Land Sports</t>
  </si>
  <si>
    <t>Activities - Other</t>
  </si>
  <si>
    <t>Special Events</t>
  </si>
  <si>
    <t>Non Fee Trip Expenses</t>
  </si>
  <si>
    <t>Trophies</t>
  </si>
  <si>
    <t>Canteen</t>
  </si>
  <si>
    <t>-----------</t>
  </si>
  <si>
    <t>Total Camper Programs</t>
  </si>
  <si>
    <t>Food Service</t>
  </si>
  <si>
    <t>Third Party</t>
  </si>
  <si>
    <t>Management Fee</t>
  </si>
  <si>
    <t>Uniforms &amp; Other</t>
  </si>
  <si>
    <t>Kosher supervision</t>
  </si>
  <si>
    <t>-</t>
  </si>
  <si>
    <t>Total Food Service</t>
  </si>
  <si>
    <t>Campers To/From Transportation</t>
  </si>
  <si>
    <t>Rental Transportation</t>
  </si>
  <si>
    <t>Total Transportation</t>
  </si>
  <si>
    <t>Total Building</t>
  </si>
  <si>
    <t>Grounds</t>
  </si>
  <si>
    <t>Equipment (other than boats)</t>
  </si>
  <si>
    <t>Boats</t>
  </si>
  <si>
    <t>Camp vehicles</t>
  </si>
  <si>
    <t>Garbage</t>
  </si>
  <si>
    <t>Environmental</t>
  </si>
  <si>
    <t>Septic</t>
  </si>
  <si>
    <t>Kitchen &amp; Cleaning Supplies</t>
  </si>
  <si>
    <t>Total Maintenance</t>
  </si>
  <si>
    <t>Total Utilities</t>
  </si>
  <si>
    <t>Increases with 2nd session, but perhaps not if it was rented out</t>
  </si>
  <si>
    <t>Camper Recruit Advert &amp; Promo</t>
  </si>
  <si>
    <t>Advertising</t>
  </si>
  <si>
    <t>Promotion</t>
  </si>
  <si>
    <t>Marketing Consulting</t>
  </si>
  <si>
    <t>Camper Recruit-Meals &amp; Ent</t>
  </si>
  <si>
    <t>Camper Recruit- Other T &amp; E</t>
  </si>
  <si>
    <t>Gifts</t>
  </si>
  <si>
    <t>Printed Yearbook</t>
  </si>
  <si>
    <t>Video Yearbook</t>
  </si>
  <si>
    <t>Promotional Brochure</t>
  </si>
  <si>
    <t>Web Site Development</t>
  </si>
  <si>
    <t>Total Camper Recruit Advert &amp; Promo</t>
  </si>
  <si>
    <t>Other Camp Expense</t>
  </si>
  <si>
    <t>Sundry Fees &amp; Lic.- Camp Oper</t>
  </si>
  <si>
    <t>Total Other Camp Expense</t>
  </si>
  <si>
    <t>Director &amp; Officer</t>
  </si>
  <si>
    <t>Liability &amp; Other</t>
  </si>
  <si>
    <t>Umbrella</t>
  </si>
  <si>
    <t>Insurance Package</t>
  </si>
  <si>
    <t>Workers Comp Insurance</t>
  </si>
  <si>
    <t>Flood Insurance</t>
  </si>
  <si>
    <t>Camp Vehicle Insurance</t>
  </si>
  <si>
    <t>Total Insurance</t>
  </si>
  <si>
    <t>Bank Charges</t>
  </si>
  <si>
    <t>Payroll Processing Fees</t>
  </si>
  <si>
    <t>Seminars and Reference Mat</t>
  </si>
  <si>
    <t>Office Expense</t>
  </si>
  <si>
    <t>Equipment Rental</t>
  </si>
  <si>
    <t>Postage &amp; Overnight Mail</t>
  </si>
  <si>
    <t>Accounting</t>
  </si>
  <si>
    <t>Legal</t>
  </si>
  <si>
    <t>Other Consulting</t>
  </si>
  <si>
    <t>Rent Office</t>
  </si>
  <si>
    <t>Real Estate Taxes</t>
  </si>
  <si>
    <t>Corporate-Meals &amp; Entertain.</t>
  </si>
  <si>
    <t>Other Travel and Entertainment</t>
  </si>
  <si>
    <t>Total Corporate Expenses</t>
  </si>
  <si>
    <t>Expense Total from ongoing operations</t>
  </si>
  <si>
    <t>Budget Parameters</t>
  </si>
  <si>
    <t>Site Rental Revenue (Out of season)</t>
  </si>
  <si>
    <t>Donation Revenue</t>
  </si>
  <si>
    <t xml:space="preserve">         Early Bird Registration</t>
  </si>
  <si>
    <t xml:space="preserve">         Sibling Registration</t>
  </si>
  <si>
    <t xml:space="preserve">         Need Based Scholarships</t>
  </si>
  <si>
    <t xml:space="preserve">         Other Discounts</t>
  </si>
  <si>
    <t xml:space="preserve"># of campers in Session 1                              </t>
  </si>
  <si>
    <t xml:space="preserve"># of campers in Session 2                       </t>
  </si>
  <si>
    <t>Full Session 1 tuition Cost</t>
  </si>
  <si>
    <t>Full Session 2 Tuition Cost</t>
  </si>
  <si>
    <t>Gross Tuition for Session 1</t>
  </si>
  <si>
    <t>Gross Tuition for Session 2</t>
  </si>
  <si>
    <t>Scholarships :  Percentage</t>
  </si>
  <si>
    <t>Scholarships :  Dollars</t>
  </si>
  <si>
    <t>Scholarship  Fundraising</t>
  </si>
  <si>
    <t xml:space="preserve">            Days in Session 1</t>
  </si>
  <si>
    <t xml:space="preserve">            Days in Session 2</t>
  </si>
  <si>
    <t>Electricy</t>
  </si>
  <si>
    <t>Natural Gas / Propane</t>
  </si>
  <si>
    <t>Water / Sewer</t>
  </si>
  <si>
    <t xml:space="preserve">Promotional Video </t>
  </si>
  <si>
    <t xml:space="preserve">  Medical Expenses</t>
  </si>
  <si>
    <t xml:space="preserve">      Medical Supplies</t>
  </si>
  <si>
    <t xml:space="preserve">      Medical Staff Salary</t>
  </si>
  <si>
    <t xml:space="preserve">      Medical Travel</t>
  </si>
  <si>
    <t xml:space="preserve">       Laundry</t>
  </si>
  <si>
    <t>Business Operational Expenses Expenses</t>
  </si>
  <si>
    <t xml:space="preserve">Mortgage </t>
  </si>
  <si>
    <t>Internet</t>
  </si>
  <si>
    <t xml:space="preserve">          Individual Donors</t>
  </si>
  <si>
    <t xml:space="preserve">          Institutional Gifts</t>
  </si>
  <si>
    <t>Loan Repayment - Interest</t>
  </si>
  <si>
    <t>Loan Repayment - Principle</t>
  </si>
  <si>
    <t>Land Line Phones</t>
  </si>
  <si>
    <t>Cell Phones</t>
  </si>
  <si>
    <t>$22 per hour - 5% inc</t>
  </si>
  <si>
    <t>$18 per hour - 5% inc</t>
  </si>
  <si>
    <t>3/4 Time</t>
  </si>
  <si>
    <t>Camp Director</t>
  </si>
  <si>
    <t>Unit Head</t>
  </si>
  <si>
    <t>Head Counselor</t>
  </si>
  <si>
    <t>Program Director</t>
  </si>
  <si>
    <t>Counselor</t>
  </si>
  <si>
    <t>Annual Increase:</t>
  </si>
  <si>
    <t>Pay Each</t>
  </si>
  <si>
    <t>Total Pay</t>
  </si>
  <si>
    <t>No.</t>
  </si>
  <si>
    <t>Inflation Est.</t>
  </si>
  <si>
    <t>Sept '15 - Aug '16</t>
  </si>
  <si>
    <t>Budget</t>
  </si>
  <si>
    <t>Sept '16 - Aug '17</t>
  </si>
  <si>
    <t>Sept '18 - Aug '19</t>
  </si>
  <si>
    <t xml:space="preserve">Forecast </t>
  </si>
  <si>
    <t>Annual Tuition Increase</t>
  </si>
  <si>
    <t>2015-2016 Actual</t>
  </si>
  <si>
    <t>2018-2019 Forecast</t>
  </si>
  <si>
    <t>Camper Capacity</t>
  </si>
  <si>
    <t xml:space="preserve">    Age 7 Boys</t>
  </si>
  <si>
    <t xml:space="preserve">    Age 7 Girls</t>
  </si>
  <si>
    <t xml:space="preserve">    Age 8 Boys</t>
  </si>
  <si>
    <t xml:space="preserve">    Age 8 Girls</t>
  </si>
  <si>
    <t xml:space="preserve">    Age 9 Boys</t>
  </si>
  <si>
    <t xml:space="preserve">    Age 9 Girls</t>
  </si>
  <si>
    <t xml:space="preserve">    Age 10 Boys</t>
  </si>
  <si>
    <t xml:space="preserve">    Age 10 Girls</t>
  </si>
  <si>
    <t xml:space="preserve">    Age 11 Girls</t>
  </si>
  <si>
    <t xml:space="preserve">    Age 11 Boys</t>
  </si>
  <si>
    <t xml:space="preserve">    Age 12 Boys</t>
  </si>
  <si>
    <t xml:space="preserve">    Age 12 Girls</t>
  </si>
  <si>
    <t xml:space="preserve">     Age 6 Boys</t>
  </si>
  <si>
    <t xml:space="preserve">     Age 6 Girls</t>
  </si>
  <si>
    <t xml:space="preserve">    Age 13 Boys</t>
  </si>
  <si>
    <t xml:space="preserve">    Age 13 Girls</t>
  </si>
  <si>
    <t xml:space="preserve">    Age 14 Boys</t>
  </si>
  <si>
    <t xml:space="preserve">    Age 14 Girls</t>
  </si>
  <si>
    <t xml:space="preserve">    Age 15 Boys</t>
  </si>
  <si>
    <t xml:space="preserve">    Age 15 Girls</t>
  </si>
  <si>
    <t xml:space="preserve">    Age 16 Boys</t>
  </si>
  <si>
    <t xml:space="preserve">    Age 16 Girls</t>
  </si>
  <si>
    <t>Session 1</t>
  </si>
  <si>
    <t>Session2</t>
  </si>
  <si>
    <t>Session 3</t>
  </si>
  <si>
    <t>TOTAL</t>
  </si>
  <si>
    <t>N/A</t>
  </si>
  <si>
    <t>Session 1 Tuition</t>
  </si>
  <si>
    <t>Session 2 Tuition</t>
  </si>
  <si>
    <t>Cash at start of Month</t>
  </si>
  <si>
    <t>Posted</t>
  </si>
  <si>
    <t>In Prior</t>
  </si>
  <si>
    <t>Fiscal Year</t>
  </si>
  <si>
    <t>Salaries:  Personnel &amp; Personnel Related</t>
  </si>
  <si>
    <t>TOTAL MONTHLY EXPENSES</t>
  </si>
  <si>
    <t>Cash On Hand End of Month</t>
  </si>
  <si>
    <t>Revenue from Camp Endowment</t>
  </si>
  <si>
    <t>Camp Vehicle Operating Costs (Rental/Maintenance)</t>
  </si>
  <si>
    <t>Camper Transportation during Camp (Buses, etc.)</t>
  </si>
  <si>
    <t>Maintenance Expenses</t>
  </si>
  <si>
    <t>Sept</t>
  </si>
  <si>
    <t>Sept '19 - Aug '20</t>
  </si>
  <si>
    <t>Sept '18-Aug '19</t>
  </si>
  <si>
    <t>Sept '17 - Aug '18</t>
  </si>
  <si>
    <t>2015-16</t>
  </si>
  <si>
    <t>2019-20</t>
  </si>
  <si>
    <t>Camp Cash Flow - Fiscal Year (2018-2019)</t>
  </si>
  <si>
    <t>CURRENT YEAR</t>
  </si>
  <si>
    <t>NEXT YEAR</t>
  </si>
  <si>
    <t>Last Year</t>
  </si>
  <si>
    <t>Two Years Ago</t>
  </si>
  <si>
    <t>Three Years Ago</t>
  </si>
  <si>
    <t>Year-To-Date</t>
  </si>
  <si>
    <t>2016-2017 Actual</t>
  </si>
  <si>
    <t>2017-2018 Actual</t>
  </si>
  <si>
    <t>2018-2019 Budget</t>
  </si>
  <si>
    <t>2010-2020 Prlan</t>
  </si>
  <si>
    <t>Plan</t>
  </si>
  <si>
    <t>Actual</t>
  </si>
  <si>
    <t>FULL YEAR BUDGET 2018-19</t>
  </si>
  <si>
    <t>BUDGET</t>
  </si>
  <si>
    <t>FORECAST</t>
  </si>
  <si>
    <t>PLAN</t>
  </si>
  <si>
    <t>Overall Organization</t>
  </si>
  <si>
    <t>Year-Round Programming</t>
  </si>
  <si>
    <t>REVENUE</t>
  </si>
  <si>
    <t xml:space="preserve">     Fee Income for Programming / Services</t>
  </si>
  <si>
    <t xml:space="preserve">    Allocation from Funding Agencies</t>
  </si>
  <si>
    <t xml:space="preserve">    Grants</t>
  </si>
  <si>
    <t xml:space="preserve">    Annual Contributions</t>
  </si>
  <si>
    <t xml:space="preserve">    Revenue from Investments</t>
  </si>
  <si>
    <t xml:space="preserve">    </t>
  </si>
  <si>
    <t>Central Administration</t>
  </si>
  <si>
    <t xml:space="preserve">Parent Organization  Budget </t>
  </si>
  <si>
    <t>EXPENSES</t>
  </si>
  <si>
    <t xml:space="preserve">          TOTAL REVENUE</t>
  </si>
  <si>
    <t xml:space="preserve">          TOTAL EXPENSES</t>
  </si>
  <si>
    <t xml:space="preserve">   Personnel Expenses</t>
  </si>
  <si>
    <t xml:space="preserve">   Program Expenses</t>
  </si>
  <si>
    <t xml:space="preserve">   Food Services</t>
  </si>
  <si>
    <t xml:space="preserve">   Transporation</t>
  </si>
  <si>
    <t xml:space="preserve">   Maintenance </t>
  </si>
  <si>
    <t xml:space="preserve">   Utilities</t>
  </si>
  <si>
    <t xml:space="preserve">   Recruitment / Advertising</t>
  </si>
  <si>
    <t xml:space="preserve">   Insurance</t>
  </si>
  <si>
    <t xml:space="preserve">   Business Operating Expenses</t>
  </si>
  <si>
    <t xml:space="preserve">   Other Expenses</t>
  </si>
  <si>
    <t xml:space="preserve">          Program Variance</t>
  </si>
  <si>
    <t xml:space="preserve">          Allocation of Central Administration</t>
  </si>
  <si>
    <t>Percentage</t>
  </si>
  <si>
    <t>Dollars</t>
  </si>
  <si>
    <t xml:space="preserve">          Program Variance after Allocation of Admin</t>
  </si>
  <si>
    <t>Federation Annual Support</t>
  </si>
  <si>
    <t>One Happy Camper Revenue</t>
  </si>
  <si>
    <t>SALARIES AND WAGES</t>
  </si>
  <si>
    <t>Medical Benefits</t>
  </si>
  <si>
    <t>Other Benefits</t>
  </si>
  <si>
    <t>State payroll taxes</t>
  </si>
  <si>
    <t>Federal Payroll Taxes</t>
  </si>
  <si>
    <t>Local payroll taxes</t>
  </si>
  <si>
    <t>Social Security Taxes</t>
  </si>
  <si>
    <t>TOTAL TAXES</t>
  </si>
  <si>
    <t>Retirement (IRA)</t>
  </si>
  <si>
    <t>Exec Director</t>
  </si>
  <si>
    <t>Year-round Employees</t>
  </si>
  <si>
    <t xml:space="preserve">Other </t>
  </si>
  <si>
    <t>Total Payroll Salaries and wages</t>
  </si>
  <si>
    <t>&lt;== State family leave tax</t>
  </si>
  <si>
    <t>&lt;== Local unemployment tax</t>
  </si>
  <si>
    <t>TOTAL MEDICAL</t>
  </si>
  <si>
    <t>TOTAL OTHER BENEFITS</t>
  </si>
  <si>
    <t>TOTAL PERSONNEL AND PERSONNEL RELATED EXPENSES</t>
  </si>
  <si>
    <t>Medical Expenses</t>
  </si>
  <si>
    <t>Seasonal Equipment Leasing</t>
  </si>
  <si>
    <t>Special Program Expenses</t>
  </si>
  <si>
    <t>Program Expenses</t>
  </si>
  <si>
    <t>General Camper Program Expenses</t>
  </si>
  <si>
    <t>Total General Programs</t>
  </si>
  <si>
    <t>PROGRAM EXPENSES</t>
  </si>
  <si>
    <t>A</t>
  </si>
  <si>
    <t>A1</t>
  </si>
  <si>
    <t>A2</t>
  </si>
  <si>
    <t>A3</t>
  </si>
  <si>
    <t>A4</t>
  </si>
  <si>
    <t>A5</t>
  </si>
  <si>
    <t>A6</t>
  </si>
  <si>
    <t>A7</t>
  </si>
  <si>
    <t>B</t>
  </si>
  <si>
    <t>a</t>
  </si>
  <si>
    <t>b</t>
  </si>
  <si>
    <t>c</t>
  </si>
  <si>
    <t xml:space="preserve">a </t>
  </si>
  <si>
    <t>C</t>
  </si>
  <si>
    <t>h</t>
  </si>
  <si>
    <t>e</t>
  </si>
  <si>
    <t>d</t>
  </si>
  <si>
    <t>f</t>
  </si>
  <si>
    <t>g</t>
  </si>
  <si>
    <t>i</t>
  </si>
  <si>
    <t>Total Medical Expenses</t>
  </si>
  <si>
    <t>Pool / Lake Maintenance</t>
  </si>
  <si>
    <t>Utilities</t>
  </si>
  <si>
    <t>B1</t>
  </si>
  <si>
    <t>B2</t>
  </si>
  <si>
    <t>l</t>
  </si>
  <si>
    <t>FACILITES  RELATED EXPENSES</t>
  </si>
  <si>
    <t>OPERATIONAL EXPENSES</t>
  </si>
  <si>
    <t>Development Department Expenses</t>
  </si>
  <si>
    <t>Office Expenses</t>
  </si>
  <si>
    <t>B3</t>
  </si>
  <si>
    <t>B4</t>
  </si>
  <si>
    <t>B5</t>
  </si>
  <si>
    <t>B6</t>
  </si>
  <si>
    <t xml:space="preserve">C1 </t>
  </si>
  <si>
    <t>C2</t>
  </si>
  <si>
    <t>C3</t>
  </si>
  <si>
    <t>C4</t>
  </si>
  <si>
    <t>j</t>
  </si>
  <si>
    <t>k</t>
  </si>
  <si>
    <t>C5</t>
  </si>
  <si>
    <t>C6</t>
  </si>
  <si>
    <t>Other Operational Expenses</t>
  </si>
  <si>
    <t>Food Service: Cost  per day</t>
  </si>
  <si>
    <t>Expenses</t>
  </si>
  <si>
    <t>TOTAL TUITION REVENUE</t>
  </si>
  <si>
    <t>Gross Tuition Revenue from all Sessions</t>
  </si>
  <si>
    <t xml:space="preserve">     Painting</t>
  </si>
  <si>
    <t xml:space="preserve">     Pottery</t>
  </si>
  <si>
    <t xml:space="preserve">     Woodshop</t>
  </si>
  <si>
    <t xml:space="preserve">     Other </t>
  </si>
  <si>
    <t xml:space="preserve">    Sub-total for Arts &amp; Crafts</t>
  </si>
  <si>
    <t xml:space="preserve">       Fuel for Boats</t>
  </si>
  <si>
    <t xml:space="preserve">       Life Jackets</t>
  </si>
  <si>
    <t xml:space="preserve">   Boating</t>
  </si>
  <si>
    <t xml:space="preserve">    Water Skiing</t>
  </si>
  <si>
    <t xml:space="preserve">    Tubing</t>
  </si>
  <si>
    <t xml:space="preserve">    Sailing supplies</t>
  </si>
  <si>
    <t xml:space="preserve">    Sub-total for Water Sports</t>
  </si>
  <si>
    <t xml:space="preserve">      Sub-total for Boats</t>
  </si>
  <si>
    <t xml:space="preserve">    Misc. Water sport supplies</t>
  </si>
  <si>
    <t xml:space="preserve">    Floatation Devices (kickboards, etc.)</t>
  </si>
  <si>
    <t xml:space="preserve">    Tents</t>
  </si>
  <si>
    <t xml:space="preserve">    Safety Equipment</t>
  </si>
  <si>
    <t xml:space="preserve">    Camping supplies</t>
  </si>
  <si>
    <t xml:space="preserve">    Misc Hiking / Camping Supplies</t>
  </si>
  <si>
    <t xml:space="preserve">    Sub-total for Hiking &amp; Camping</t>
  </si>
  <si>
    <t>Maccabi Games</t>
  </si>
  <si>
    <t xml:space="preserve">   'Electricity</t>
  </si>
  <si>
    <t xml:space="preserve">   'Natural Gas / Propane</t>
  </si>
  <si>
    <t xml:space="preserve">   'Land Line Phones</t>
  </si>
  <si>
    <t xml:space="preserve">   'Cell Phones</t>
  </si>
  <si>
    <t xml:space="preserve">   Internet</t>
  </si>
  <si>
    <t xml:space="preserve">   Water / Sewer</t>
  </si>
  <si>
    <t xml:space="preserve">    Fundraising event costs</t>
  </si>
  <si>
    <t xml:space="preserve">    Travel</t>
  </si>
  <si>
    <t xml:space="preserve">   Postage</t>
  </si>
  <si>
    <t xml:space="preserve">   Newsletter printing</t>
  </si>
  <si>
    <t xml:space="preserve">   Recognition Events / Activiites</t>
  </si>
  <si>
    <t xml:space="preserve">     Advertising</t>
  </si>
  <si>
    <t xml:space="preserve">     Camper Recruit-Meals &amp; Ent</t>
  </si>
  <si>
    <t xml:space="preserve">     Camper Recruit- Other T &amp; E</t>
  </si>
  <si>
    <t xml:space="preserve">     Contributions</t>
  </si>
  <si>
    <t xml:space="preserve">     Gifts</t>
  </si>
  <si>
    <t xml:space="preserve">     Printed Yearbook</t>
  </si>
  <si>
    <t xml:space="preserve">     Video Yearbook</t>
  </si>
  <si>
    <t xml:space="preserve">     Promotional Video </t>
  </si>
  <si>
    <t xml:space="preserve">     Promotional Brochure</t>
  </si>
  <si>
    <t xml:space="preserve">     Web Site Development</t>
  </si>
  <si>
    <t xml:space="preserve">     Marketing Consulting</t>
  </si>
  <si>
    <t xml:space="preserve">    Equipment Rental</t>
  </si>
  <si>
    <t xml:space="preserve">    'Postage &amp; Overnight Mail</t>
  </si>
  <si>
    <t xml:space="preserve">    Rent Office</t>
  </si>
  <si>
    <t xml:space="preserve">     Bank Charges</t>
  </si>
  <si>
    <t xml:space="preserve">     Payroll Processing Fees</t>
  </si>
  <si>
    <t xml:space="preserve">     Loan Repayment - Interest</t>
  </si>
  <si>
    <t xml:space="preserve">     Loan Repayment - Principle</t>
  </si>
  <si>
    <t xml:space="preserve">     Director &amp; Officer</t>
  </si>
  <si>
    <t xml:space="preserve">     Liability &amp; Other</t>
  </si>
  <si>
    <t xml:space="preserve">     Umbrella</t>
  </si>
  <si>
    <t xml:space="preserve">     Insurance Package</t>
  </si>
  <si>
    <t xml:space="preserve">     Workers Comp Insurance</t>
  </si>
  <si>
    <t xml:space="preserve">     Flood Insurance</t>
  </si>
  <si>
    <t xml:space="preserve">     Camp Vehicle Insurance</t>
  </si>
  <si>
    <t>Retreat Center</t>
  </si>
  <si>
    <t>Visiting day, pick-up day, etc.</t>
  </si>
  <si>
    <t>Age Group 1</t>
  </si>
  <si>
    <t>Age Group 2</t>
  </si>
  <si>
    <t>Age Group 3</t>
  </si>
  <si>
    <t>Special Session 1</t>
  </si>
  <si>
    <t>Special Session 2</t>
  </si>
  <si>
    <t>Camper by Age Group</t>
  </si>
  <si>
    <t>Program Specific Support (Grants)</t>
  </si>
  <si>
    <t xml:space="preserve">Camp XYZ Operating Budget </t>
  </si>
  <si>
    <t>PERSONNEL AND PERSONNEL RELATED</t>
  </si>
  <si>
    <t>Total Program Expenses</t>
  </si>
  <si>
    <t xml:space="preserve">         Sports Clinics</t>
  </si>
  <si>
    <t xml:space="preserve"> Total Special Programs</t>
  </si>
  <si>
    <t xml:space="preserve"> Total Other Camp Expenses</t>
  </si>
  <si>
    <t>Total Seasonl Leasing Expenses</t>
  </si>
  <si>
    <t xml:space="preserve">         Farm Animals</t>
  </si>
  <si>
    <t>Total Facilities Expenses</t>
  </si>
  <si>
    <t>Professional Services</t>
  </si>
  <si>
    <t>Total Professional Services</t>
  </si>
  <si>
    <t xml:space="preserve">     Audit</t>
  </si>
  <si>
    <t xml:space="preserve">     Legal</t>
  </si>
  <si>
    <t xml:space="preserve">     Other Consulting</t>
  </si>
  <si>
    <t xml:space="preserve">     Accounting/Bookkeeping</t>
  </si>
  <si>
    <t>Total Development Expenses</t>
  </si>
  <si>
    <t>Total Office Expenses</t>
  </si>
  <si>
    <t xml:space="preserve">    Office Expense</t>
  </si>
  <si>
    <t>Total Bank Charges</t>
  </si>
  <si>
    <t xml:space="preserve">&lt;= These are costs assocated with running the camp during the summer. </t>
  </si>
  <si>
    <t>&lt;= These are costs assocated with maintaining facilities</t>
  </si>
  <si>
    <t>&lt;= These are costs to open the camp for the first camper</t>
  </si>
  <si>
    <t>Total Other Operational Expenses</t>
  </si>
  <si>
    <t>Total Camp Expenses</t>
  </si>
  <si>
    <t xml:space="preserve">    Year-round Vehicle expenses</t>
  </si>
  <si>
    <t xml:space="preserve">    Fees &amp; Licensing </t>
  </si>
  <si>
    <t xml:space="preserve">    Travel Expenses</t>
  </si>
  <si>
    <t xml:space="preserve">    Technology</t>
  </si>
  <si>
    <t xml:space="preserve">    Security</t>
  </si>
  <si>
    <t xml:space="preserve">    Membership Dues</t>
  </si>
  <si>
    <t>Camp Net Income</t>
  </si>
  <si>
    <t>CAPITAL BUDGET</t>
  </si>
  <si>
    <t>Capital Donations</t>
  </si>
  <si>
    <t xml:space="preserve">Revenue from Endowment </t>
  </si>
  <si>
    <t xml:space="preserve">      Individual</t>
  </si>
  <si>
    <t xml:space="preserve">      Corporate</t>
  </si>
  <si>
    <t xml:space="preserve">      Restricted Use</t>
  </si>
  <si>
    <t xml:space="preserve">Camp XYZ Capital Budget </t>
  </si>
  <si>
    <t>Planning</t>
  </si>
  <si>
    <t>Construction</t>
  </si>
  <si>
    <t>Capital Purchases</t>
  </si>
  <si>
    <t>Transfer from Operations</t>
  </si>
  <si>
    <t>Transfer from Capital Fund</t>
  </si>
  <si>
    <t xml:space="preserve">      Architect</t>
  </si>
  <si>
    <t xml:space="preserve">      </t>
  </si>
  <si>
    <t xml:space="preserve">      Surveying</t>
  </si>
  <si>
    <t xml:space="preserve">      Equipment (specify)</t>
  </si>
  <si>
    <t xml:space="preserve">      Licenses, Permits, and Fees</t>
  </si>
  <si>
    <t xml:space="preserve">      General Contractor</t>
  </si>
  <si>
    <t xml:space="preserve">      Contractor 2</t>
  </si>
  <si>
    <t xml:space="preserve">      Contractor 3</t>
  </si>
  <si>
    <t>Total Tuition Discounts</t>
  </si>
  <si>
    <t>Total Donation Revenue</t>
  </si>
  <si>
    <t xml:space="preserve">     Promotion (Includes Camp Swag)</t>
  </si>
  <si>
    <t>Sale of Camp Swag</t>
  </si>
  <si>
    <t>Gross Tuition from All Sessions</t>
  </si>
  <si>
    <t>One Happy Camper Tuition Revenue</t>
  </si>
  <si>
    <t>Total Operational Expense</t>
  </si>
  <si>
    <t xml:space="preserve">     General Program Expenses</t>
  </si>
  <si>
    <t xml:space="preserve">     Seasonal Equipment Leasing</t>
  </si>
  <si>
    <t xml:space="preserve">     Transportation</t>
  </si>
  <si>
    <t xml:space="preserve">     Medical Expenses</t>
  </si>
  <si>
    <t xml:space="preserve">     Other Camp Expenses</t>
  </si>
  <si>
    <t xml:space="preserve">     Food Services</t>
  </si>
  <si>
    <t xml:space="preserve">     Special Program Expenses</t>
  </si>
  <si>
    <t>Facilities Related Expenses</t>
  </si>
  <si>
    <t xml:space="preserve">      Mortgage</t>
  </si>
  <si>
    <t xml:space="preserve">      Real Estate Taxes </t>
  </si>
  <si>
    <t xml:space="preserve">      Maintenance Expenses</t>
  </si>
  <si>
    <t xml:space="preserve">      Utilities</t>
  </si>
  <si>
    <t xml:space="preserve">      Pool / Lake Expenses</t>
  </si>
  <si>
    <t xml:space="preserve">      Kitchen &amp; Cleaning Supplies</t>
  </si>
  <si>
    <t xml:space="preserve">Operational Expenses </t>
  </si>
  <si>
    <t xml:space="preserve">      Professional Services</t>
  </si>
  <si>
    <t xml:space="preserve">      Development Department</t>
  </si>
  <si>
    <t xml:space="preserve">      Recruitment, Advertising, Promotions</t>
  </si>
  <si>
    <t xml:space="preserve">      Office Expenses</t>
  </si>
  <si>
    <t xml:space="preserve">      Bank Charges</t>
  </si>
  <si>
    <t xml:space="preserve">      Insurance</t>
  </si>
  <si>
    <t xml:space="preserve">      Other Operational Expenses</t>
  </si>
  <si>
    <t>Net Income from Operations</t>
  </si>
  <si>
    <t>Net Capital Expenditures</t>
  </si>
  <si>
    <t>OPERATING BUDGET</t>
  </si>
  <si>
    <t>Capital Revenue</t>
  </si>
  <si>
    <t>Capital Expenses</t>
  </si>
  <si>
    <t xml:space="preserve">   Net of Capital Budget</t>
  </si>
  <si>
    <t xml:space="preserve">   Cumulative Capital Expenditures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</si>
</sst>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;[Red]#,##0"/>
    <numFmt numFmtId="166" formatCode="0.0%"/>
    <numFmt numFmtId="167" formatCode="&quot;$&quot;#,##0.00"/>
  </numFmts>
  <fonts count="4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6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b/>
      <i/>
      <u/>
      <sz val="16"/>
      <name val="Arial"/>
      <family val="2"/>
    </font>
    <font>
      <b/>
      <i/>
      <u/>
      <sz val="12"/>
      <name val="Arial"/>
      <family val="2"/>
    </font>
    <font>
      <b/>
      <sz val="16"/>
      <name val="Arial"/>
      <family val="2"/>
    </font>
    <font>
      <sz val="10"/>
      <color indexed="8"/>
      <name val="Arial"/>
      <family val="2"/>
    </font>
    <font>
      <sz val="12"/>
      <color indexed="8"/>
      <name val="Helvetica"/>
      <family val="2"/>
    </font>
    <font>
      <b/>
      <sz val="12"/>
      <color indexed="8"/>
      <name val="Helvetica"/>
      <family val="2"/>
    </font>
    <font>
      <sz val="12"/>
      <color rgb="FF000000"/>
      <name val="Helvetica"/>
      <family val="2"/>
    </font>
    <font>
      <b/>
      <i/>
      <sz val="12"/>
      <name val="Arial"/>
      <family val="2"/>
    </font>
    <font>
      <b/>
      <i/>
      <sz val="12"/>
      <color indexed="8"/>
      <name val="Helvetica"/>
      <family val="2"/>
    </font>
    <font>
      <sz val="12"/>
      <name val="Arial"/>
      <family val="2"/>
    </font>
    <font>
      <sz val="12"/>
      <color indexed="8"/>
      <name val="Calibri"/>
      <family val="2"/>
    </font>
    <font>
      <b/>
      <sz val="10"/>
      <color indexed="8"/>
      <name val="Arial"/>
      <family val="2"/>
    </font>
    <font>
      <b/>
      <sz val="12"/>
      <name val="Helvetica"/>
      <family val="2"/>
    </font>
    <font>
      <b/>
      <sz val="12"/>
      <color theme="1"/>
      <name val="Calibri"/>
      <family val="2"/>
      <scheme val="minor"/>
    </font>
    <font>
      <sz val="12"/>
      <name val="Helvetica"/>
      <family val="2"/>
    </font>
    <font>
      <u/>
      <sz val="12"/>
      <color indexed="8"/>
      <name val="Helvetica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i/>
      <sz val="12"/>
      <name val="Helvetica"/>
      <family val="2"/>
    </font>
    <font>
      <b/>
      <sz val="12"/>
      <name val="Arial"/>
      <family val="2"/>
    </font>
    <font>
      <b/>
      <i/>
      <sz val="16"/>
      <name val="Arial"/>
      <family val="2"/>
    </font>
    <font>
      <sz val="12"/>
      <color theme="1"/>
      <name val="Calibri"/>
      <family val="2"/>
      <scheme val="minor"/>
    </font>
    <font>
      <sz val="14"/>
      <color indexed="8"/>
      <name val="Calibri"/>
      <family val="2"/>
    </font>
    <font>
      <sz val="11"/>
      <color theme="1"/>
      <name val="Calibri"/>
      <family val="2"/>
    </font>
    <font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  <scheme val="minor"/>
    </font>
    <font>
      <b/>
      <sz val="14"/>
      <color indexed="8"/>
      <name val="Helvetica"/>
      <family val="2"/>
    </font>
    <font>
      <b/>
      <sz val="12"/>
      <color theme="1"/>
      <name val="Arial"/>
      <family val="2"/>
    </font>
    <font>
      <b/>
      <sz val="12"/>
      <color theme="1"/>
      <name val="Helvetica"/>
      <family val="2"/>
    </font>
    <font>
      <b/>
      <i/>
      <sz val="12"/>
      <color theme="0"/>
      <name val="Arial"/>
      <family val="2"/>
    </font>
    <font>
      <b/>
      <i/>
      <sz val="12"/>
      <color theme="0"/>
      <name val="Helvetica"/>
      <family val="2"/>
    </font>
    <font>
      <b/>
      <sz val="12"/>
      <color theme="0"/>
      <name val="Arial"/>
      <family val="2"/>
    </font>
    <font>
      <sz val="12"/>
      <color theme="1"/>
      <name val="Arial"/>
      <family val="2"/>
    </font>
    <font>
      <sz val="14"/>
      <color theme="1"/>
      <name val="Helvetica"/>
      <family val="2"/>
    </font>
    <font>
      <b/>
      <sz val="14"/>
      <color indexed="8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34F4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dotted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thick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Border="0" applyAlignment="0"/>
    <xf numFmtId="0" fontId="22" fillId="0" borderId="0" applyNumberFormat="0" applyBorder="0" applyAlignment="0"/>
    <xf numFmtId="0" fontId="27" fillId="0" borderId="0"/>
  </cellStyleXfs>
  <cellXfs count="559">
    <xf numFmtId="0" fontId="0" fillId="0" borderId="0" xfId="0"/>
    <xf numFmtId="0" fontId="0" fillId="0" borderId="1" xfId="0" applyBorder="1" applyAlignment="1">
      <alignment horizontal="left"/>
    </xf>
    <xf numFmtId="0" fontId="0" fillId="0" borderId="0" xfId="0" applyAlignment="1">
      <alignment horizontal="center"/>
    </xf>
    <xf numFmtId="14" fontId="4" fillId="0" borderId="0" xfId="0" applyNumberFormat="1" applyFont="1"/>
    <xf numFmtId="0" fontId="0" fillId="0" borderId="0" xfId="0" applyAlignment="1">
      <alignment horizontal="left"/>
    </xf>
    <xf numFmtId="164" fontId="0" fillId="0" borderId="0" xfId="1" applyNumberFormat="1" applyFont="1" applyAlignment="1">
      <alignment horizontal="center"/>
    </xf>
    <xf numFmtId="164" fontId="0" fillId="0" borderId="0" xfId="1" applyNumberFormat="1" applyFont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Border="1" applyAlignment="1">
      <alignment horizontal="left"/>
    </xf>
    <xf numFmtId="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1" xfId="0" applyBorder="1"/>
    <xf numFmtId="0" fontId="2" fillId="0" borderId="0" xfId="0" applyFont="1" applyAlignment="1">
      <alignment horizontal="left"/>
    </xf>
    <xf numFmtId="3" fontId="0" fillId="0" borderId="0" xfId="0" applyNumberFormat="1" applyAlignment="1">
      <alignment horizontal="center"/>
    </xf>
    <xf numFmtId="0" fontId="0" fillId="0" borderId="0" xfId="0" applyFill="1"/>
    <xf numFmtId="0" fontId="0" fillId="2" borderId="0" xfId="0" applyFill="1"/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165" fontId="0" fillId="0" borderId="0" xfId="1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0" xfId="0" applyNumberFormat="1" applyFill="1" applyAlignment="1">
      <alignment horizontal="center"/>
    </xf>
    <xf numFmtId="165" fontId="0" fillId="0" borderId="0" xfId="0" applyNumberFormat="1" applyAlignment="1">
      <alignment horizontal="left"/>
    </xf>
    <xf numFmtId="165" fontId="0" fillId="0" borderId="2" xfId="0" applyNumberFormat="1" applyBorder="1" applyAlignment="1">
      <alignment horizontal="center"/>
    </xf>
    <xf numFmtId="0" fontId="2" fillId="0" borderId="0" xfId="0" applyFont="1"/>
    <xf numFmtId="6" fontId="0" fillId="0" borderId="1" xfId="0" applyNumberFormat="1" applyFont="1" applyBorder="1" applyAlignment="1">
      <alignment horizontal="center"/>
    </xf>
    <xf numFmtId="164" fontId="5" fillId="0" borderId="0" xfId="0" applyNumberFormat="1" applyFont="1" applyFill="1" applyAlignment="1">
      <alignment horizontal="center"/>
    </xf>
    <xf numFmtId="165" fontId="5" fillId="0" borderId="0" xfId="0" applyNumberFormat="1" applyFont="1" applyFill="1" applyAlignment="1">
      <alignment horizontal="center"/>
    </xf>
    <xf numFmtId="165" fontId="5" fillId="0" borderId="0" xfId="0" applyNumberFormat="1" applyFont="1" applyFill="1" applyAlignment="1">
      <alignment horizontal="left"/>
    </xf>
    <xf numFmtId="0" fontId="5" fillId="0" borderId="0" xfId="0" applyFont="1" applyFill="1" applyBorder="1" applyAlignment="1">
      <alignment horizontal="left"/>
    </xf>
    <xf numFmtId="164" fontId="0" fillId="0" borderId="0" xfId="0" applyNumberFormat="1" applyBorder="1" applyAlignment="1">
      <alignment horizontal="left"/>
    </xf>
    <xf numFmtId="165" fontId="0" fillId="0" borderId="6" xfId="0" applyNumberFormat="1" applyBorder="1" applyAlignment="1">
      <alignment horizontal="left"/>
    </xf>
    <xf numFmtId="165" fontId="0" fillId="0" borderId="6" xfId="0" applyNumberFormat="1" applyBorder="1" applyAlignment="1">
      <alignment horizontal="center"/>
    </xf>
    <xf numFmtId="0" fontId="0" fillId="0" borderId="7" xfId="0" applyBorder="1" applyAlignment="1">
      <alignment horizontal="left"/>
    </xf>
    <xf numFmtId="164" fontId="0" fillId="0" borderId="6" xfId="0" applyNumberFormat="1" applyBorder="1" applyAlignment="1">
      <alignment horizontal="left"/>
    </xf>
    <xf numFmtId="164" fontId="5" fillId="0" borderId="0" xfId="0" applyNumberFormat="1" applyFont="1" applyFill="1" applyAlignment="1">
      <alignment horizontal="left"/>
    </xf>
    <xf numFmtId="0" fontId="0" fillId="0" borderId="0" xfId="0" applyBorder="1" applyAlignment="1">
      <alignment horizontal="center"/>
    </xf>
    <xf numFmtId="3" fontId="0" fillId="0" borderId="0" xfId="0" applyNumberFormat="1"/>
    <xf numFmtId="0" fontId="0" fillId="0" borderId="0" xfId="0" applyAlignment="1">
      <alignment horizontal="right"/>
    </xf>
    <xf numFmtId="0" fontId="6" fillId="0" borderId="0" xfId="0" applyFont="1"/>
    <xf numFmtId="37" fontId="0" fillId="0" borderId="0" xfId="0" applyNumberFormat="1" applyAlignment="1">
      <alignment horizontal="right"/>
    </xf>
    <xf numFmtId="37" fontId="0" fillId="0" borderId="1" xfId="0" applyNumberFormat="1" applyBorder="1" applyAlignment="1">
      <alignment horizontal="right"/>
    </xf>
    <xf numFmtId="0" fontId="2" fillId="0" borderId="3" xfId="0" applyFont="1" applyBorder="1"/>
    <xf numFmtId="37" fontId="2" fillId="0" borderId="4" xfId="0" applyNumberFormat="1" applyFont="1" applyBorder="1" applyAlignment="1">
      <alignment horizontal="right"/>
    </xf>
    <xf numFmtId="0" fontId="0" fillId="0" borderId="0" xfId="0" applyFont="1" applyFill="1" applyBorder="1"/>
    <xf numFmtId="3" fontId="0" fillId="0" borderId="1" xfId="0" applyNumberFormat="1" applyBorder="1"/>
    <xf numFmtId="3" fontId="2" fillId="0" borderId="0" xfId="0" applyNumberFormat="1" applyFont="1"/>
    <xf numFmtId="0" fontId="0" fillId="0" borderId="0" xfId="0" applyFill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1" applyNumberFormat="1" applyFont="1" applyAlignment="1">
      <alignment horizontal="center"/>
    </xf>
    <xf numFmtId="0" fontId="0" fillId="0" borderId="6" xfId="0" applyNumberFormat="1" applyBorder="1" applyAlignment="1">
      <alignment horizontal="left"/>
    </xf>
    <xf numFmtId="0" fontId="5" fillId="0" borderId="0" xfId="0" applyNumberFormat="1" applyFont="1" applyFill="1" applyAlignment="1">
      <alignment horizontal="center"/>
    </xf>
    <xf numFmtId="0" fontId="0" fillId="0" borderId="0" xfId="0" applyNumberFormat="1" applyAlignment="1">
      <alignment horizontal="left"/>
    </xf>
    <xf numFmtId="3" fontId="0" fillId="0" borderId="0" xfId="0" applyNumberFormat="1" applyAlignment="1">
      <alignment horizontal="center" vertical="center"/>
    </xf>
    <xf numFmtId="0" fontId="2" fillId="0" borderId="0" xfId="0" applyFont="1" applyBorder="1"/>
    <xf numFmtId="37" fontId="0" fillId="0" borderId="0" xfId="0" applyNumberFormat="1" applyBorder="1" applyAlignment="1">
      <alignment horizontal="right"/>
    </xf>
    <xf numFmtId="37" fontId="0" fillId="0" borderId="0" xfId="0" applyNumberFormat="1" applyBorder="1" applyAlignment="1">
      <alignment horizontal="center"/>
    </xf>
    <xf numFmtId="37" fontId="2" fillId="0" borderId="4" xfId="0" applyNumberFormat="1" applyFont="1" applyBorder="1" applyAlignment="1">
      <alignment horizontal="center"/>
    </xf>
    <xf numFmtId="0" fontId="2" fillId="0" borderId="2" xfId="0" applyFont="1" applyFill="1" applyBorder="1"/>
    <xf numFmtId="37" fontId="2" fillId="0" borderId="2" xfId="0" applyNumberFormat="1" applyFont="1" applyBorder="1" applyAlignment="1">
      <alignment horizontal="right"/>
    </xf>
    <xf numFmtId="37" fontId="2" fillId="0" borderId="2" xfId="0" applyNumberFormat="1" applyFont="1" applyBorder="1" applyAlignment="1">
      <alignment horizontal="center"/>
    </xf>
    <xf numFmtId="3" fontId="2" fillId="4" borderId="0" xfId="0" applyNumberFormat="1" applyFont="1" applyFill="1" applyAlignment="1">
      <alignment horizontal="center" vertical="center"/>
    </xf>
    <xf numFmtId="0" fontId="0" fillId="7" borderId="0" xfId="0" applyFill="1" applyAlignment="1">
      <alignment horizontal="right"/>
    </xf>
    <xf numFmtId="0" fontId="0" fillId="7" borderId="0" xfId="0" applyFill="1" applyAlignment="1">
      <alignment horizontal="center"/>
    </xf>
    <xf numFmtId="37" fontId="0" fillId="0" borderId="0" xfId="0" applyNumberFormat="1" applyAlignment="1">
      <alignment horizontal="center"/>
    </xf>
    <xf numFmtId="37" fontId="0" fillId="0" borderId="1" xfId="0" applyNumberFormat="1" applyBorder="1" applyAlignment="1">
      <alignment horizontal="center"/>
    </xf>
    <xf numFmtId="3" fontId="0" fillId="0" borderId="0" xfId="0" applyNumberFormat="1" applyAlignment="1">
      <alignment horizontal="right"/>
    </xf>
    <xf numFmtId="3" fontId="0" fillId="0" borderId="0" xfId="2" applyNumberFormat="1" applyFont="1" applyAlignment="1">
      <alignment horizontal="center"/>
    </xf>
    <xf numFmtId="3" fontId="0" fillId="0" borderId="1" xfId="0" applyNumberFormat="1" applyBorder="1" applyAlignment="1">
      <alignment horizontal="right"/>
    </xf>
    <xf numFmtId="3" fontId="0" fillId="0" borderId="1" xfId="2" applyNumberFormat="1" applyFont="1" applyBorder="1" applyAlignment="1">
      <alignment horizontal="center"/>
    </xf>
    <xf numFmtId="0" fontId="2" fillId="6" borderId="0" xfId="0" applyFont="1" applyFill="1"/>
    <xf numFmtId="37" fontId="2" fillId="6" borderId="0" xfId="0" applyNumberFormat="1" applyFont="1" applyFill="1" applyAlignment="1">
      <alignment horizontal="right"/>
    </xf>
    <xf numFmtId="37" fontId="2" fillId="6" borderId="0" xfId="0" applyNumberFormat="1" applyFont="1" applyFill="1" applyAlignment="1">
      <alignment horizontal="center"/>
    </xf>
    <xf numFmtId="3" fontId="6" fillId="0" borderId="0" xfId="0" applyNumberFormat="1" applyFont="1"/>
    <xf numFmtId="1" fontId="0" fillId="0" borderId="0" xfId="0" applyNumberFormat="1"/>
    <xf numFmtId="1" fontId="3" fillId="8" borderId="0" xfId="0" applyNumberFormat="1" applyFont="1" applyFill="1" applyAlignment="1">
      <alignment horizontal="right"/>
    </xf>
    <xf numFmtId="1" fontId="3" fillId="8" borderId="0" xfId="0" applyNumberFormat="1" applyFont="1" applyFill="1" applyAlignment="1">
      <alignment horizontal="center"/>
    </xf>
    <xf numFmtId="14" fontId="0" fillId="0" borderId="0" xfId="0" applyNumberFormat="1" applyAlignment="1">
      <alignment horizontal="center" vertical="center"/>
    </xf>
    <xf numFmtId="1" fontId="7" fillId="8" borderId="0" xfId="0" applyNumberFormat="1" applyFont="1" applyFill="1"/>
    <xf numFmtId="0" fontId="2" fillId="8" borderId="0" xfId="0" applyFont="1" applyFill="1"/>
    <xf numFmtId="3" fontId="2" fillId="8" borderId="0" xfId="0" applyNumberFormat="1" applyFont="1" applyFill="1" applyAlignment="1">
      <alignment horizontal="center" vertical="center"/>
    </xf>
    <xf numFmtId="0" fontId="2" fillId="8" borderId="0" xfId="0" applyFont="1" applyFill="1" applyAlignment="1">
      <alignment horizontal="center"/>
    </xf>
    <xf numFmtId="1" fontId="2" fillId="8" borderId="0" xfId="0" applyNumberFormat="1" applyFont="1" applyFill="1" applyAlignment="1">
      <alignment horizontal="center"/>
    </xf>
    <xf numFmtId="14" fontId="8" fillId="3" borderId="0" xfId="0" applyNumberFormat="1" applyFont="1" applyFill="1" applyAlignment="1">
      <alignment horizontal="left"/>
    </xf>
    <xf numFmtId="0" fontId="8" fillId="3" borderId="0" xfId="0" applyFont="1" applyFill="1" applyAlignment="1">
      <alignment horizontal="center"/>
    </xf>
    <xf numFmtId="0" fontId="9" fillId="3" borderId="0" xfId="0" applyFont="1" applyFill="1"/>
    <xf numFmtId="0" fontId="9" fillId="3" borderId="0" xfId="0" applyFont="1" applyFill="1" applyAlignment="1">
      <alignment horizontal="center"/>
    </xf>
    <xf numFmtId="3" fontId="8" fillId="3" borderId="0" xfId="0" applyNumberFormat="1" applyFont="1" applyFill="1" applyAlignment="1">
      <alignment horizontal="center"/>
    </xf>
    <xf numFmtId="3" fontId="9" fillId="3" borderId="0" xfId="0" applyNumberFormat="1" applyFont="1" applyFill="1"/>
    <xf numFmtId="0" fontId="8" fillId="3" borderId="1" xfId="0" applyFont="1" applyFill="1" applyBorder="1" applyAlignment="1">
      <alignment horizontal="left"/>
    </xf>
    <xf numFmtId="0" fontId="8" fillId="3" borderId="1" xfId="0" applyFont="1" applyFill="1" applyBorder="1" applyAlignment="1">
      <alignment horizontal="center"/>
    </xf>
    <xf numFmtId="0" fontId="9" fillId="3" borderId="1" xfId="0" applyFont="1" applyFill="1" applyBorder="1"/>
    <xf numFmtId="0" fontId="8" fillId="3" borderId="0" xfId="0" applyFont="1" applyFill="1" applyAlignment="1">
      <alignment horizontal="left"/>
    </xf>
    <xf numFmtId="0" fontId="10" fillId="3" borderId="0" xfId="0" applyFont="1" applyFill="1" applyAlignment="1">
      <alignment horizontal="left"/>
    </xf>
    <xf numFmtId="3" fontId="10" fillId="3" borderId="1" xfId="0" applyNumberFormat="1" applyFont="1" applyFill="1" applyBorder="1" applyAlignment="1">
      <alignment horizontal="left"/>
    </xf>
    <xf numFmtId="0" fontId="10" fillId="3" borderId="1" xfId="0" applyFont="1" applyFill="1" applyBorder="1"/>
    <xf numFmtId="3" fontId="10" fillId="3" borderId="1" xfId="0" applyNumberFormat="1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8" fillId="3" borderId="0" xfId="0" applyFont="1" applyFill="1"/>
    <xf numFmtId="0" fontId="8" fillId="3" borderId="1" xfId="0" applyFont="1" applyFill="1" applyBorder="1"/>
    <xf numFmtId="0" fontId="8" fillId="3" borderId="0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3" fontId="8" fillId="3" borderId="2" xfId="0" applyNumberFormat="1" applyFont="1" applyFill="1" applyBorder="1" applyAlignment="1">
      <alignment horizontal="left"/>
    </xf>
    <xf numFmtId="3" fontId="8" fillId="3" borderId="2" xfId="0" applyNumberFormat="1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3" fontId="8" fillId="3" borderId="0" xfId="0" applyNumberFormat="1" applyFont="1" applyFill="1" applyBorder="1" applyAlignment="1">
      <alignment horizontal="left"/>
    </xf>
    <xf numFmtId="3" fontId="8" fillId="3" borderId="0" xfId="0" applyNumberFormat="1" applyFont="1" applyFill="1" applyBorder="1" applyAlignment="1">
      <alignment horizontal="center"/>
    </xf>
    <xf numFmtId="44" fontId="8" fillId="3" borderId="0" xfId="0" applyNumberFormat="1" applyFont="1" applyFill="1" applyAlignment="1">
      <alignment horizontal="center"/>
    </xf>
    <xf numFmtId="9" fontId="8" fillId="3" borderId="0" xfId="3" applyFont="1" applyFill="1" applyAlignment="1">
      <alignment horizontal="center"/>
    </xf>
    <xf numFmtId="0" fontId="0" fillId="0" borderId="0" xfId="0" applyFill="1" applyAlignment="1">
      <alignment horizontal="left"/>
    </xf>
    <xf numFmtId="0" fontId="11" fillId="0" borderId="0" xfId="0" applyFont="1"/>
    <xf numFmtId="0" fontId="12" fillId="0" borderId="0" xfId="0" applyFont="1"/>
    <xf numFmtId="37" fontId="15" fillId="0" borderId="13" xfId="4" applyNumberFormat="1" applyFont="1" applyBorder="1" applyAlignment="1"/>
    <xf numFmtId="42" fontId="15" fillId="0" borderId="0" xfId="4" applyNumberFormat="1" applyFont="1" applyBorder="1" applyAlignment="1"/>
    <xf numFmtId="0" fontId="18" fillId="10" borderId="16" xfId="0" applyFont="1" applyFill="1" applyBorder="1" applyAlignment="1">
      <alignment horizontal="left" vertical="center" wrapText="1"/>
    </xf>
    <xf numFmtId="0" fontId="18" fillId="10" borderId="17" xfId="0" applyFont="1" applyFill="1" applyBorder="1" applyAlignment="1">
      <alignment horizontal="left" vertical="center" wrapText="1"/>
    </xf>
    <xf numFmtId="37" fontId="19" fillId="0" borderId="20" xfId="4" applyNumberFormat="1" applyFont="1" applyFill="1" applyBorder="1" applyAlignment="1"/>
    <xf numFmtId="37" fontId="19" fillId="0" borderId="21" xfId="4" applyNumberFormat="1" applyFont="1" applyFill="1" applyBorder="1" applyAlignment="1"/>
    <xf numFmtId="37" fontId="19" fillId="0" borderId="22" xfId="4" applyNumberFormat="1" applyFont="1" applyFill="1" applyBorder="1" applyAlignment="1"/>
    <xf numFmtId="0" fontId="20" fillId="0" borderId="23" xfId="0" applyFont="1" applyBorder="1" applyAlignment="1">
      <alignment horizontal="center" vertical="center" wrapText="1"/>
    </xf>
    <xf numFmtId="37" fontId="19" fillId="0" borderId="3" xfId="4" applyNumberFormat="1" applyFont="1" applyFill="1" applyBorder="1" applyAlignment="1"/>
    <xf numFmtId="37" fontId="19" fillId="0" borderId="1" xfId="4" applyNumberFormat="1" applyFont="1" applyFill="1" applyBorder="1" applyAlignment="1"/>
    <xf numFmtId="37" fontId="19" fillId="0" borderId="24" xfId="4" applyNumberFormat="1" applyFont="1" applyFill="1" applyBorder="1" applyAlignment="1"/>
    <xf numFmtId="0" fontId="20" fillId="0" borderId="8" xfId="0" applyFont="1" applyBorder="1" applyAlignment="1">
      <alignment horizontal="center" vertical="center" wrapText="1"/>
    </xf>
    <xf numFmtId="37" fontId="19" fillId="0" borderId="4" xfId="4" applyNumberFormat="1" applyFont="1" applyFill="1" applyBorder="1" applyAlignment="1"/>
    <xf numFmtId="37" fontId="19" fillId="0" borderId="25" xfId="4" applyNumberFormat="1" applyFont="1" applyFill="1" applyBorder="1" applyAlignment="1"/>
    <xf numFmtId="3" fontId="21" fillId="9" borderId="12" xfId="2" applyNumberFormat="1" applyFont="1" applyFill="1" applyBorder="1" applyAlignment="1">
      <alignment horizontal="center"/>
    </xf>
    <xf numFmtId="42" fontId="16" fillId="0" borderId="0" xfId="4" applyNumberFormat="1" applyFont="1" applyBorder="1" applyAlignment="1"/>
    <xf numFmtId="41" fontId="15" fillId="0" borderId="0" xfId="4" applyNumberFormat="1" applyFont="1" applyBorder="1" applyAlignment="1">
      <alignment horizontal="center"/>
    </xf>
    <xf numFmtId="0" fontId="0" fillId="0" borderId="0" xfId="0" applyFont="1" applyFill="1"/>
    <xf numFmtId="0" fontId="18" fillId="11" borderId="3" xfId="0" applyFont="1" applyFill="1" applyBorder="1" applyAlignment="1">
      <alignment horizontal="left" vertical="center" wrapText="1"/>
    </xf>
    <xf numFmtId="0" fontId="18" fillId="11" borderId="4" xfId="0" applyFont="1" applyFill="1" applyBorder="1" applyAlignment="1">
      <alignment horizontal="left" vertical="center" wrapText="1"/>
    </xf>
    <xf numFmtId="0" fontId="20" fillId="11" borderId="4" xfId="0" applyFont="1" applyFill="1" applyBorder="1" applyAlignment="1">
      <alignment vertical="center" wrapText="1"/>
    </xf>
    <xf numFmtId="37" fontId="16" fillId="0" borderId="3" xfId="4" applyNumberFormat="1" applyFont="1" applyFill="1" applyBorder="1" applyAlignment="1"/>
    <xf numFmtId="37" fontId="16" fillId="0" borderId="4" xfId="4" applyNumberFormat="1" applyFont="1" applyFill="1" applyBorder="1" applyAlignment="1"/>
    <xf numFmtId="42" fontId="15" fillId="0" borderId="12" xfId="4" applyNumberFormat="1" applyFont="1" applyBorder="1" applyAlignment="1"/>
    <xf numFmtId="42" fontId="15" fillId="9" borderId="12" xfId="4" applyNumberFormat="1" applyFont="1" applyFill="1" applyBorder="1" applyAlignment="1"/>
    <xf numFmtId="42" fontId="15" fillId="0" borderId="12" xfId="4" applyNumberFormat="1" applyFont="1" applyFill="1" applyBorder="1" applyAlignment="1"/>
    <xf numFmtId="42" fontId="15" fillId="0" borderId="9" xfId="4" applyNumberFormat="1" applyFont="1" applyFill="1" applyBorder="1" applyAlignment="1"/>
    <xf numFmtId="42" fontId="15" fillId="0" borderId="10" xfId="4" applyNumberFormat="1" applyFont="1" applyFill="1" applyBorder="1" applyAlignment="1"/>
    <xf numFmtId="42" fontId="15" fillId="9" borderId="10" xfId="4" applyNumberFormat="1" applyFont="1" applyFill="1" applyBorder="1" applyAlignment="1"/>
    <xf numFmtId="42" fontId="19" fillId="11" borderId="3" xfId="5" quotePrefix="1" applyNumberFormat="1" applyFont="1" applyFill="1" applyBorder="1" applyAlignment="1">
      <alignment vertical="center"/>
    </xf>
    <xf numFmtId="42" fontId="19" fillId="11" borderId="4" xfId="5" quotePrefix="1" applyNumberFormat="1" applyFont="1" applyFill="1" applyBorder="1" applyAlignment="1">
      <alignment vertical="center"/>
    </xf>
    <xf numFmtId="42" fontId="23" fillId="11" borderId="23" xfId="0" applyNumberFormat="1" applyFont="1" applyFill="1" applyBorder="1" applyAlignment="1">
      <alignment vertical="center"/>
    </xf>
    <xf numFmtId="42" fontId="19" fillId="0" borderId="0" xfId="5" quotePrefix="1" applyNumberFormat="1" applyFont="1" applyFill="1" applyBorder="1" applyAlignment="1"/>
    <xf numFmtId="42" fontId="25" fillId="0" borderId="0" xfId="0" applyNumberFormat="1" applyFont="1" applyFill="1" applyBorder="1" applyAlignment="1"/>
    <xf numFmtId="0" fontId="18" fillId="12" borderId="5" xfId="0" applyFont="1" applyFill="1" applyBorder="1" applyAlignment="1">
      <alignment horizontal="left" vertical="center" wrapText="1"/>
    </xf>
    <xf numFmtId="0" fontId="18" fillId="12" borderId="6" xfId="0" applyFont="1" applyFill="1" applyBorder="1" applyAlignment="1">
      <alignment horizontal="left" vertical="center" wrapText="1"/>
    </xf>
    <xf numFmtId="0" fontId="20" fillId="12" borderId="6" xfId="0" applyFont="1" applyFill="1" applyBorder="1" applyAlignment="1">
      <alignment vertical="center" wrapText="1"/>
    </xf>
    <xf numFmtId="42" fontId="16" fillId="0" borderId="3" xfId="5" quotePrefix="1" applyNumberFormat="1" applyFont="1" applyFill="1" applyBorder="1" applyAlignment="1"/>
    <xf numFmtId="42" fontId="16" fillId="0" borderId="4" xfId="5" quotePrefix="1" applyNumberFormat="1" applyFont="1" applyFill="1" applyBorder="1" applyAlignment="1"/>
    <xf numFmtId="42" fontId="26" fillId="0" borderId="4" xfId="5" applyNumberFormat="1" applyFont="1" applyFill="1" applyBorder="1" applyAlignment="1"/>
    <xf numFmtId="42" fontId="26" fillId="0" borderId="25" xfId="5" applyNumberFormat="1" applyFont="1" applyFill="1" applyBorder="1" applyAlignment="1"/>
    <xf numFmtId="42" fontId="15" fillId="9" borderId="12" xfId="4" applyNumberFormat="1" applyFont="1" applyFill="1" applyBorder="1" applyAlignment="1">
      <alignment horizontal="center" vertical="center"/>
    </xf>
    <xf numFmtId="0" fontId="15" fillId="0" borderId="3" xfId="6" applyFont="1" applyFill="1" applyBorder="1"/>
    <xf numFmtId="42" fontId="15" fillId="0" borderId="12" xfId="4" quotePrefix="1" applyNumberFormat="1" applyFont="1" applyFill="1" applyBorder="1" applyAlignment="1"/>
    <xf numFmtId="42" fontId="15" fillId="9" borderId="12" xfId="4" quotePrefix="1" applyNumberFormat="1" applyFont="1" applyFill="1" applyBorder="1" applyAlignment="1"/>
    <xf numFmtId="37" fontId="16" fillId="0" borderId="0" xfId="5" quotePrefix="1" applyNumberFormat="1" applyFont="1" applyFill="1" applyBorder="1" applyAlignment="1">
      <alignment horizontal="fill"/>
    </xf>
    <xf numFmtId="37" fontId="15" fillId="0" borderId="0" xfId="5" quotePrefix="1" applyNumberFormat="1" applyFont="1" applyFill="1" applyBorder="1" applyAlignment="1">
      <alignment horizontal="fill"/>
    </xf>
    <xf numFmtId="42" fontId="15" fillId="0" borderId="3" xfId="5" quotePrefix="1" applyNumberFormat="1" applyFont="1" applyFill="1" applyBorder="1" applyAlignment="1"/>
    <xf numFmtId="42" fontId="15" fillId="0" borderId="4" xfId="5" quotePrefix="1" applyNumberFormat="1" applyFont="1" applyFill="1" applyBorder="1" applyAlignment="1"/>
    <xf numFmtId="42" fontId="15" fillId="0" borderId="12" xfId="5" applyNumberFormat="1" applyFont="1" applyFill="1" applyBorder="1" applyAlignment="1"/>
    <xf numFmtId="0" fontId="29" fillId="0" borderId="3" xfId="4" quotePrefix="1" applyFont="1" applyFill="1" applyBorder="1" applyAlignment="1">
      <alignment horizontal="left"/>
    </xf>
    <xf numFmtId="0" fontId="29" fillId="0" borderId="4" xfId="4" quotePrefix="1" applyFont="1" applyFill="1" applyBorder="1" applyAlignment="1">
      <alignment horizontal="left"/>
    </xf>
    <xf numFmtId="0" fontId="29" fillId="0" borderId="3" xfId="4" applyFont="1" applyFill="1" applyBorder="1" applyAlignment="1">
      <alignment horizontal="left"/>
    </xf>
    <xf numFmtId="0" fontId="29" fillId="0" borderId="4" xfId="4" applyFont="1" applyFill="1" applyBorder="1" applyAlignment="1">
      <alignment horizontal="left"/>
    </xf>
    <xf numFmtId="37" fontId="16" fillId="0" borderId="3" xfId="5" quotePrefix="1" applyNumberFormat="1" applyFont="1" applyFill="1" applyBorder="1" applyAlignment="1">
      <alignment horizontal="fill"/>
    </xf>
    <xf numFmtId="37" fontId="16" fillId="0" borderId="4" xfId="5" quotePrefix="1" applyNumberFormat="1" applyFont="1" applyFill="1" applyBorder="1" applyAlignment="1">
      <alignment horizontal="fill"/>
    </xf>
    <xf numFmtId="37" fontId="15" fillId="0" borderId="12" xfId="5" quotePrefix="1" applyNumberFormat="1" applyFont="1" applyFill="1" applyBorder="1" applyAlignment="1">
      <alignment horizontal="fill"/>
    </xf>
    <xf numFmtId="42" fontId="15" fillId="0" borderId="12" xfId="4" quotePrefix="1" applyNumberFormat="1" applyFont="1" applyFill="1" applyBorder="1" applyAlignment="1">
      <alignment horizontal="right" vertical="center"/>
    </xf>
    <xf numFmtId="0" fontId="28" fillId="0" borderId="3" xfId="5" quotePrefix="1" applyFont="1" applyFill="1" applyBorder="1" applyAlignment="1">
      <alignment horizontal="left"/>
    </xf>
    <xf numFmtId="164" fontId="28" fillId="0" borderId="3" xfId="5" quotePrefix="1" applyNumberFormat="1" applyFont="1" applyFill="1" applyBorder="1" applyAlignment="1">
      <alignment horizontal="fill"/>
    </xf>
    <xf numFmtId="37" fontId="15" fillId="0" borderId="3" xfId="5" quotePrefix="1" applyNumberFormat="1" applyFont="1" applyFill="1" applyBorder="1" applyAlignment="1">
      <alignment horizontal="fill"/>
    </xf>
    <xf numFmtId="37" fontId="15" fillId="0" borderId="4" xfId="5" quotePrefix="1" applyNumberFormat="1" applyFont="1" applyFill="1" applyBorder="1" applyAlignment="1">
      <alignment horizontal="fill"/>
    </xf>
    <xf numFmtId="42" fontId="15" fillId="0" borderId="3" xfId="4" quotePrefix="1" applyNumberFormat="1" applyFont="1" applyFill="1" applyBorder="1" applyAlignment="1"/>
    <xf numFmtId="42" fontId="15" fillId="0" borderId="4" xfId="4" quotePrefix="1" applyNumberFormat="1" applyFont="1" applyFill="1" applyBorder="1" applyAlignment="1"/>
    <xf numFmtId="0" fontId="28" fillId="0" borderId="3" xfId="5" quotePrefix="1" applyFont="1" applyFill="1" applyBorder="1" applyAlignment="1">
      <alignment horizontal="left" vertical="center"/>
    </xf>
    <xf numFmtId="0" fontId="28" fillId="0" borderId="4" xfId="5" quotePrefix="1" applyFont="1" applyFill="1" applyBorder="1" applyAlignment="1">
      <alignment horizontal="left" vertical="center"/>
    </xf>
    <xf numFmtId="42" fontId="16" fillId="0" borderId="12" xfId="4" quotePrefix="1" applyNumberFormat="1" applyFont="1" applyFill="1" applyBorder="1" applyAlignment="1">
      <alignment horizontal="right" vertical="center"/>
    </xf>
    <xf numFmtId="0" fontId="24" fillId="0" borderId="0" xfId="0" applyFont="1" applyFill="1"/>
    <xf numFmtId="0" fontId="28" fillId="11" borderId="3" xfId="5" quotePrefix="1" applyFont="1" applyFill="1" applyBorder="1" applyAlignment="1">
      <alignment horizontal="left" vertical="center"/>
    </xf>
    <xf numFmtId="0" fontId="28" fillId="11" borderId="4" xfId="5" quotePrefix="1" applyFont="1" applyFill="1" applyBorder="1" applyAlignment="1">
      <alignment horizontal="left" vertical="center"/>
    </xf>
    <xf numFmtId="42" fontId="16" fillId="11" borderId="12" xfId="4" quotePrefix="1" applyNumberFormat="1" applyFont="1" applyFill="1" applyBorder="1" applyAlignment="1">
      <alignment horizontal="right" vertical="center"/>
    </xf>
    <xf numFmtId="164" fontId="0" fillId="0" borderId="12" xfId="0" applyNumberFormat="1" applyFont="1" applyBorder="1" applyAlignment="1">
      <alignment horizontal="center"/>
    </xf>
    <xf numFmtId="42" fontId="30" fillId="0" borderId="26" xfId="5" quotePrefix="1" applyNumberFormat="1" applyFont="1" applyFill="1" applyBorder="1" applyAlignment="1">
      <alignment vertical="center"/>
    </xf>
    <xf numFmtId="42" fontId="30" fillId="0" borderId="2" xfId="5" quotePrefix="1" applyNumberFormat="1" applyFont="1" applyFill="1" applyBorder="1" applyAlignment="1">
      <alignment vertical="center"/>
    </xf>
    <xf numFmtId="42" fontId="31" fillId="0" borderId="10" xfId="0" applyNumberFormat="1" applyFont="1" applyFill="1" applyBorder="1" applyAlignment="1">
      <alignment horizontal="right" vertical="center"/>
    </xf>
    <xf numFmtId="37" fontId="19" fillId="0" borderId="4" xfId="4" applyNumberFormat="1" applyFont="1" applyFill="1" applyBorder="1" applyAlignment="1">
      <alignment horizontal="right"/>
    </xf>
    <xf numFmtId="166" fontId="19" fillId="0" borderId="25" xfId="4" applyNumberFormat="1" applyFont="1" applyFill="1" applyBorder="1" applyAlignment="1"/>
    <xf numFmtId="166" fontId="21" fillId="0" borderId="12" xfId="2" applyNumberFormat="1" applyFont="1" applyBorder="1" applyAlignment="1">
      <alignment horizontal="center"/>
    </xf>
    <xf numFmtId="164" fontId="21" fillId="0" borderId="12" xfId="2" applyNumberFormat="1" applyFont="1" applyFill="1" applyBorder="1" applyAlignment="1">
      <alignment horizontal="center"/>
    </xf>
    <xf numFmtId="164" fontId="21" fillId="0" borderId="12" xfId="2" applyNumberFormat="1" applyFont="1" applyBorder="1" applyAlignment="1">
      <alignment horizontal="center"/>
    </xf>
    <xf numFmtId="37" fontId="19" fillId="0" borderId="27" xfId="4" applyNumberFormat="1" applyFont="1" applyFill="1" applyBorder="1" applyAlignment="1"/>
    <xf numFmtId="42" fontId="16" fillId="0" borderId="3" xfId="4" quotePrefix="1" applyNumberFormat="1" applyFont="1" applyFill="1" applyBorder="1" applyAlignment="1"/>
    <xf numFmtId="0" fontId="0" fillId="0" borderId="1" xfId="0" quotePrefix="1" applyBorder="1" applyAlignment="1">
      <alignment horizontal="left"/>
    </xf>
    <xf numFmtId="166" fontId="0" fillId="0" borderId="0" xfId="0" applyNumberFormat="1" applyAlignment="1">
      <alignment horizontal="center"/>
    </xf>
    <xf numFmtId="164" fontId="0" fillId="0" borderId="1" xfId="0" applyNumberFormat="1" applyBorder="1" applyAlignment="1">
      <alignment horizontal="center"/>
    </xf>
    <xf numFmtId="0" fontId="2" fillId="0" borderId="28" xfId="0" applyNumberFormat="1" applyFont="1" applyBorder="1" applyAlignment="1">
      <alignment horizontal="center"/>
    </xf>
    <xf numFmtId="0" fontId="2" fillId="0" borderId="29" xfId="0" applyNumberFormat="1" applyFont="1" applyBorder="1" applyAlignment="1">
      <alignment horizontal="center"/>
    </xf>
    <xf numFmtId="165" fontId="2" fillId="0" borderId="30" xfId="1" applyNumberFormat="1" applyFont="1" applyBorder="1" applyAlignment="1">
      <alignment horizontal="center"/>
    </xf>
    <xf numFmtId="0" fontId="0" fillId="0" borderId="31" xfId="0" applyNumberForma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165" fontId="0" fillId="0" borderId="32" xfId="1" applyNumberFormat="1" applyFont="1" applyFill="1" applyBorder="1" applyAlignment="1">
      <alignment horizontal="center"/>
    </xf>
    <xf numFmtId="165" fontId="0" fillId="0" borderId="32" xfId="1" applyNumberFormat="1" applyFont="1" applyBorder="1" applyAlignment="1">
      <alignment horizontal="center"/>
    </xf>
    <xf numFmtId="0" fontId="0" fillId="0" borderId="31" xfId="0" applyNumberFormat="1" applyFont="1" applyBorder="1" applyAlignment="1">
      <alignment horizontal="center"/>
    </xf>
    <xf numFmtId="164" fontId="0" fillId="5" borderId="32" xfId="0" applyNumberFormat="1" applyFill="1" applyBorder="1" applyAlignment="1">
      <alignment horizontal="center"/>
    </xf>
    <xf numFmtId="0" fontId="0" fillId="0" borderId="31" xfId="1" applyNumberFormat="1" applyFont="1" applyBorder="1" applyAlignment="1">
      <alignment horizontal="center"/>
    </xf>
    <xf numFmtId="164" fontId="0" fillId="0" borderId="12" xfId="1" applyNumberFormat="1" applyFont="1" applyBorder="1" applyAlignment="1">
      <alignment horizontal="center"/>
    </xf>
    <xf numFmtId="0" fontId="0" fillId="0" borderId="33" xfId="1" applyNumberFormat="1" applyFont="1" applyBorder="1" applyAlignment="1">
      <alignment horizontal="center"/>
    </xf>
    <xf numFmtId="0" fontId="0" fillId="0" borderId="34" xfId="1" applyNumberFormat="1" applyFont="1" applyBorder="1" applyAlignment="1">
      <alignment horizontal="center"/>
    </xf>
    <xf numFmtId="164" fontId="0" fillId="5" borderId="35" xfId="1" applyNumberFormat="1" applyFont="1" applyFill="1" applyBorder="1" applyAlignment="1">
      <alignment horizontal="center"/>
    </xf>
    <xf numFmtId="0" fontId="0" fillId="0" borderId="28" xfId="0" applyNumberFormat="1" applyBorder="1" applyAlignment="1">
      <alignment horizontal="center"/>
    </xf>
    <xf numFmtId="0" fontId="0" fillId="0" borderId="29" xfId="0" applyNumberFormat="1" applyBorder="1" applyAlignment="1">
      <alignment horizontal="center"/>
    </xf>
    <xf numFmtId="165" fontId="0" fillId="0" borderId="30" xfId="1" applyNumberFormat="1" applyFont="1" applyFill="1" applyBorder="1" applyAlignment="1">
      <alignment horizontal="center"/>
    </xf>
    <xf numFmtId="165" fontId="2" fillId="0" borderId="31" xfId="1" applyNumberFormat="1" applyFont="1" applyBorder="1" applyAlignment="1">
      <alignment horizontal="center"/>
    </xf>
    <xf numFmtId="165" fontId="2" fillId="0" borderId="12" xfId="0" applyNumberFormat="1" applyFont="1" applyBorder="1" applyAlignment="1">
      <alignment horizontal="center"/>
    </xf>
    <xf numFmtId="165" fontId="2" fillId="0" borderId="32" xfId="0" applyNumberFormat="1" applyFont="1" applyBorder="1" applyAlignment="1">
      <alignment horizontal="center"/>
    </xf>
    <xf numFmtId="165" fontId="0" fillId="0" borderId="12" xfId="0" applyNumberFormat="1" applyBorder="1" applyAlignment="1">
      <alignment horizontal="center"/>
    </xf>
    <xf numFmtId="165" fontId="0" fillId="0" borderId="12" xfId="1" applyNumberFormat="1" applyFon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34" xfId="1" applyNumberFormat="1" applyFont="1" applyBorder="1" applyAlignment="1">
      <alignment horizontal="center"/>
    </xf>
    <xf numFmtId="1" fontId="0" fillId="0" borderId="31" xfId="0" applyNumberFormat="1" applyFill="1" applyBorder="1" applyAlignment="1">
      <alignment horizontal="center"/>
    </xf>
    <xf numFmtId="0" fontId="0" fillId="0" borderId="4" xfId="0" applyNumberFormat="1" applyBorder="1" applyAlignment="1">
      <alignment horizontal="center"/>
    </xf>
    <xf numFmtId="165" fontId="0" fillId="0" borderId="4" xfId="1" applyNumberFormat="1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36" xfId="0" applyNumberFormat="1" applyBorder="1" applyAlignment="1">
      <alignment horizontal="center"/>
    </xf>
    <xf numFmtId="0" fontId="0" fillId="0" borderId="8" xfId="0" applyNumberFormat="1" applyBorder="1" applyAlignment="1">
      <alignment horizontal="center"/>
    </xf>
    <xf numFmtId="165" fontId="0" fillId="0" borderId="37" xfId="1" applyNumberFormat="1" applyFont="1" applyFill="1" applyBorder="1" applyAlignment="1">
      <alignment horizontal="center"/>
    </xf>
    <xf numFmtId="164" fontId="21" fillId="9" borderId="12" xfId="2" applyNumberFormat="1" applyFont="1" applyFill="1" applyBorder="1" applyAlignment="1">
      <alignment horizontal="center"/>
    </xf>
    <xf numFmtId="0" fontId="11" fillId="0" borderId="0" xfId="0" applyFont="1" applyFill="1"/>
    <xf numFmtId="0" fontId="12" fillId="0" borderId="0" xfId="0" applyFont="1" applyFill="1"/>
    <xf numFmtId="37" fontId="15" fillId="0" borderId="13" xfId="4" applyNumberFormat="1" applyFont="1" applyFill="1" applyBorder="1" applyAlignment="1"/>
    <xf numFmtId="42" fontId="16" fillId="0" borderId="14" xfId="4" applyNumberFormat="1" applyFont="1" applyFill="1" applyBorder="1" applyAlignment="1">
      <alignment horizontal="center" vertical="center"/>
    </xf>
    <xf numFmtId="42" fontId="16" fillId="0" borderId="0" xfId="4" applyNumberFormat="1" applyFont="1" applyFill="1" applyBorder="1" applyAlignment="1">
      <alignment horizontal="center" vertical="center"/>
    </xf>
    <xf numFmtId="42" fontId="15" fillId="0" borderId="0" xfId="4" applyNumberFormat="1" applyFont="1" applyFill="1" applyBorder="1" applyAlignment="1"/>
    <xf numFmtId="0" fontId="17" fillId="0" borderId="1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left" vertical="center" wrapText="1"/>
    </xf>
    <xf numFmtId="0" fontId="18" fillId="0" borderId="18" xfId="0" applyFont="1" applyFill="1" applyBorder="1" applyAlignment="1">
      <alignment horizontal="left" vertical="center" wrapText="1"/>
    </xf>
    <xf numFmtId="0" fontId="18" fillId="0" borderId="17" xfId="0" applyFont="1" applyFill="1" applyBorder="1" applyAlignment="1">
      <alignment vertical="center" wrapText="1"/>
    </xf>
    <xf numFmtId="0" fontId="18" fillId="0" borderId="18" xfId="0" applyFont="1" applyFill="1" applyBorder="1" applyAlignment="1">
      <alignment vertical="center" wrapText="1"/>
    </xf>
    <xf numFmtId="0" fontId="18" fillId="0" borderId="19" xfId="0" applyFont="1" applyFill="1" applyBorder="1" applyAlignment="1">
      <alignment horizontal="center" vertical="center" wrapText="1"/>
    </xf>
    <xf numFmtId="42" fontId="16" fillId="0" borderId="0" xfId="4" applyNumberFormat="1" applyFont="1" applyFill="1" applyBorder="1" applyAlignment="1"/>
    <xf numFmtId="41" fontId="15" fillId="0" borderId="0" xfId="4" applyNumberFormat="1" applyFont="1" applyFill="1" applyBorder="1" applyAlignment="1">
      <alignment horizontal="center"/>
    </xf>
    <xf numFmtId="0" fontId="18" fillId="0" borderId="3" xfId="0" applyFont="1" applyFill="1" applyBorder="1" applyAlignment="1">
      <alignment horizontal="left" vertical="center" wrapText="1"/>
    </xf>
    <xf numFmtId="0" fontId="18" fillId="0" borderId="4" xfId="0" applyFont="1" applyFill="1" applyBorder="1" applyAlignment="1">
      <alignment horizontal="left" vertical="center" wrapText="1"/>
    </xf>
    <xf numFmtId="0" fontId="20" fillId="0" borderId="4" xfId="0" applyFont="1" applyFill="1" applyBorder="1" applyAlignment="1">
      <alignment vertical="center" wrapText="1"/>
    </xf>
    <xf numFmtId="0" fontId="20" fillId="0" borderId="12" xfId="0" applyFont="1" applyFill="1" applyBorder="1" applyAlignment="1">
      <alignment vertical="center" wrapText="1"/>
    </xf>
    <xf numFmtId="42" fontId="0" fillId="0" borderId="0" xfId="0" applyNumberFormat="1" applyFont="1" applyFill="1"/>
    <xf numFmtId="42" fontId="19" fillId="0" borderId="3" xfId="5" quotePrefix="1" applyNumberFormat="1" applyFont="1" applyFill="1" applyBorder="1" applyAlignment="1">
      <alignment vertical="center"/>
    </xf>
    <xf numFmtId="42" fontId="23" fillId="0" borderId="23" xfId="0" applyNumberFormat="1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0" fontId="20" fillId="0" borderId="6" xfId="0" applyFont="1" applyFill="1" applyBorder="1" applyAlignment="1">
      <alignment vertical="center" wrapText="1"/>
    </xf>
    <xf numFmtId="0" fontId="20" fillId="0" borderId="11" xfId="0" applyFont="1" applyFill="1" applyBorder="1" applyAlignment="1">
      <alignment vertical="center" wrapText="1"/>
    </xf>
    <xf numFmtId="37" fontId="15" fillId="0" borderId="3" xfId="4" applyNumberFormat="1" applyFont="1" applyFill="1" applyBorder="1" applyAlignment="1"/>
    <xf numFmtId="9" fontId="0" fillId="0" borderId="0" xfId="0" applyNumberFormat="1" applyFont="1" applyFill="1"/>
    <xf numFmtId="0" fontId="28" fillId="0" borderId="26" xfId="5" quotePrefix="1" applyFont="1" applyFill="1" applyBorder="1" applyAlignment="1">
      <alignment horizontal="left" vertical="center"/>
    </xf>
    <xf numFmtId="42" fontId="16" fillId="0" borderId="10" xfId="4" quotePrefix="1" applyNumberFormat="1" applyFont="1" applyFill="1" applyBorder="1" applyAlignment="1">
      <alignment horizontal="right" vertical="center"/>
    </xf>
    <xf numFmtId="42" fontId="16" fillId="0" borderId="23" xfId="4" quotePrefix="1" applyNumberFormat="1" applyFont="1" applyFill="1" applyBorder="1" applyAlignment="1">
      <alignment horizontal="right" vertical="center"/>
    </xf>
    <xf numFmtId="166" fontId="16" fillId="13" borderId="4" xfId="4" applyNumberFormat="1" applyFont="1" applyFill="1" applyBorder="1" applyAlignment="1"/>
    <xf numFmtId="0" fontId="20" fillId="13" borderId="23" xfId="0" applyFont="1" applyFill="1" applyBorder="1" applyAlignment="1">
      <alignment horizontal="center" vertical="center" wrapText="1"/>
    </xf>
    <xf numFmtId="0" fontId="20" fillId="13" borderId="8" xfId="0" applyFont="1" applyFill="1" applyBorder="1" applyAlignment="1">
      <alignment horizontal="center" vertical="center" wrapText="1"/>
    </xf>
    <xf numFmtId="166" fontId="20" fillId="13" borderId="12" xfId="0" applyNumberFormat="1" applyFont="1" applyFill="1" applyBorder="1" applyAlignment="1">
      <alignment horizontal="center" vertical="center" wrapText="1"/>
    </xf>
    <xf numFmtId="166" fontId="21" fillId="13" borderId="12" xfId="2" applyNumberFormat="1" applyFont="1" applyFill="1" applyBorder="1" applyAlignment="1">
      <alignment horizontal="center"/>
    </xf>
    <xf numFmtId="42" fontId="15" fillId="13" borderId="12" xfId="4" applyNumberFormat="1" applyFont="1" applyFill="1" applyBorder="1" applyAlignment="1"/>
    <xf numFmtId="42" fontId="25" fillId="9" borderId="12" xfId="0" applyNumberFormat="1" applyFont="1" applyFill="1" applyBorder="1" applyAlignment="1"/>
    <xf numFmtId="0" fontId="9" fillId="3" borderId="28" xfId="0" applyFont="1" applyFill="1" applyBorder="1"/>
    <xf numFmtId="0" fontId="8" fillId="3" borderId="29" xfId="0" applyFont="1" applyFill="1" applyBorder="1" applyAlignment="1">
      <alignment horizontal="center"/>
    </xf>
    <xf numFmtId="0" fontId="8" fillId="3" borderId="30" xfId="0" applyFont="1" applyFill="1" applyBorder="1" applyAlignment="1">
      <alignment horizontal="center"/>
    </xf>
    <xf numFmtId="0" fontId="8" fillId="3" borderId="31" xfId="0" applyFont="1" applyFill="1" applyBorder="1"/>
    <xf numFmtId="0" fontId="8" fillId="3" borderId="12" xfId="0" applyFont="1" applyFill="1" applyBorder="1" applyAlignment="1">
      <alignment horizontal="center"/>
    </xf>
    <xf numFmtId="0" fontId="8" fillId="3" borderId="32" xfId="0" applyFont="1" applyFill="1" applyBorder="1" applyAlignment="1">
      <alignment horizontal="center"/>
    </xf>
    <xf numFmtId="0" fontId="8" fillId="3" borderId="31" xfId="0" applyFont="1" applyFill="1" applyBorder="1" applyAlignment="1">
      <alignment horizontal="left"/>
    </xf>
    <xf numFmtId="0" fontId="8" fillId="3" borderId="33" xfId="0" applyFont="1" applyFill="1" applyBorder="1" applyAlignment="1">
      <alignment horizontal="left"/>
    </xf>
    <xf numFmtId="0" fontId="8" fillId="3" borderId="34" xfId="0" applyFont="1" applyFill="1" applyBorder="1" applyAlignment="1">
      <alignment horizontal="center"/>
    </xf>
    <xf numFmtId="0" fontId="8" fillId="3" borderId="35" xfId="0" applyFont="1" applyFill="1" applyBorder="1" applyAlignment="1">
      <alignment horizontal="center"/>
    </xf>
    <xf numFmtId="0" fontId="8" fillId="3" borderId="28" xfId="0" applyFont="1" applyFill="1" applyBorder="1" applyAlignment="1">
      <alignment horizontal="center"/>
    </xf>
    <xf numFmtId="0" fontId="8" fillId="3" borderId="31" xfId="0" applyFont="1" applyFill="1" applyBorder="1" applyAlignment="1">
      <alignment horizontal="center"/>
    </xf>
    <xf numFmtId="0" fontId="8" fillId="3" borderId="33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left" vertical="center" wrapText="1"/>
    </xf>
    <xf numFmtId="0" fontId="2" fillId="0" borderId="0" xfId="0" applyFont="1" applyFill="1"/>
    <xf numFmtId="0" fontId="0" fillId="0" borderId="0" xfId="0" applyFill="1" applyAlignment="1">
      <alignment horizontal="right"/>
    </xf>
    <xf numFmtId="37" fontId="16" fillId="0" borderId="0" xfId="4" applyNumberFormat="1" applyFont="1" applyFill="1" applyBorder="1" applyAlignment="1">
      <alignment horizontal="center" wrapText="1"/>
    </xf>
    <xf numFmtId="7" fontId="15" fillId="0" borderId="10" xfId="4" applyNumberFormat="1" applyFont="1" applyFill="1" applyBorder="1" applyAlignment="1"/>
    <xf numFmtId="4" fontId="0" fillId="0" borderId="0" xfId="0" applyNumberFormat="1" applyAlignment="1">
      <alignment horizontal="center" vertical="center"/>
    </xf>
    <xf numFmtId="4" fontId="0" fillId="0" borderId="0" xfId="0" applyNumberFormat="1"/>
    <xf numFmtId="4" fontId="2" fillId="0" borderId="0" xfId="0" applyNumberFormat="1" applyFont="1"/>
    <xf numFmtId="4" fontId="2" fillId="0" borderId="0" xfId="0" applyNumberFormat="1" applyFont="1" applyAlignment="1">
      <alignment horizontal="center" vertical="center"/>
    </xf>
    <xf numFmtId="167" fontId="2" fillId="0" borderId="0" xfId="0" applyNumberFormat="1" applyFont="1" applyAlignment="1">
      <alignment horizontal="center" vertical="center"/>
    </xf>
    <xf numFmtId="0" fontId="33" fillId="0" borderId="3" xfId="0" applyFont="1" applyFill="1" applyBorder="1" applyAlignment="1">
      <alignment horizontal="left" vertical="center" wrapText="1"/>
    </xf>
    <xf numFmtId="0" fontId="33" fillId="0" borderId="5" xfId="0" applyFont="1" applyFill="1" applyBorder="1" applyAlignment="1">
      <alignment horizontal="left" vertical="center" wrapText="1"/>
    </xf>
    <xf numFmtId="167" fontId="0" fillId="0" borderId="0" xfId="0" applyNumberFormat="1" applyAlignment="1">
      <alignment horizontal="center"/>
    </xf>
    <xf numFmtId="167" fontId="5" fillId="0" borderId="0" xfId="0" applyNumberFormat="1" applyFont="1" applyFill="1" applyAlignment="1">
      <alignment horizontal="center"/>
    </xf>
    <xf numFmtId="164" fontId="0" fillId="0" borderId="0" xfId="0" applyNumberFormat="1" applyFill="1" applyAlignment="1">
      <alignment horizontal="center"/>
    </xf>
    <xf numFmtId="164" fontId="2" fillId="0" borderId="38" xfId="0" applyNumberFormat="1" applyFont="1" applyFill="1" applyBorder="1" applyAlignment="1">
      <alignment horizontal="center" vertical="center"/>
    </xf>
    <xf numFmtId="164" fontId="2" fillId="0" borderId="39" xfId="0" applyNumberFormat="1" applyFont="1" applyFill="1" applyBorder="1" applyAlignment="1">
      <alignment horizontal="center" vertical="center"/>
    </xf>
    <xf numFmtId="164" fontId="2" fillId="0" borderId="40" xfId="0" applyNumberFormat="1" applyFont="1" applyFill="1" applyBorder="1" applyAlignment="1">
      <alignment horizontal="center"/>
    </xf>
    <xf numFmtId="164" fontId="2" fillId="0" borderId="41" xfId="0" applyNumberFormat="1" applyFont="1" applyFill="1" applyBorder="1" applyAlignment="1">
      <alignment horizontal="center" vertical="center"/>
    </xf>
    <xf numFmtId="164" fontId="2" fillId="0" borderId="42" xfId="0" applyNumberFormat="1" applyFont="1" applyFill="1" applyBorder="1" applyAlignment="1">
      <alignment horizontal="center" vertical="center"/>
    </xf>
    <xf numFmtId="164" fontId="2" fillId="0" borderId="43" xfId="0" applyNumberFormat="1" applyFont="1" applyFill="1" applyBorder="1" applyAlignment="1">
      <alignment horizontal="center"/>
    </xf>
    <xf numFmtId="164" fontId="0" fillId="0" borderId="41" xfId="0" applyNumberFormat="1" applyBorder="1" applyAlignment="1">
      <alignment horizontal="center" vertical="center"/>
    </xf>
    <xf numFmtId="164" fontId="0" fillId="0" borderId="42" xfId="0" applyNumberFormat="1" applyBorder="1" applyAlignment="1">
      <alignment horizontal="center" vertical="center"/>
    </xf>
    <xf numFmtId="164" fontId="0" fillId="0" borderId="43" xfId="0" applyNumberFormat="1" applyBorder="1"/>
    <xf numFmtId="164" fontId="23" fillId="9" borderId="41" xfId="0" applyNumberFormat="1" applyFont="1" applyFill="1" applyBorder="1" applyAlignment="1">
      <alignment vertical="center"/>
    </xf>
    <xf numFmtId="164" fontId="23" fillId="9" borderId="42" xfId="0" applyNumberFormat="1" applyFont="1" applyFill="1" applyBorder="1" applyAlignment="1">
      <alignment vertical="center"/>
    </xf>
    <xf numFmtId="164" fontId="23" fillId="9" borderId="43" xfId="0" applyNumberFormat="1" applyFont="1" applyFill="1" applyBorder="1" applyAlignment="1">
      <alignment vertical="center"/>
    </xf>
    <xf numFmtId="164" fontId="2" fillId="0" borderId="2" xfId="0" applyNumberFormat="1" applyFont="1" applyBorder="1" applyAlignment="1">
      <alignment horizontal="center"/>
    </xf>
    <xf numFmtId="164" fontId="2" fillId="0" borderId="41" xfId="0" applyNumberFormat="1" applyFont="1" applyBorder="1" applyAlignment="1">
      <alignment horizontal="center" vertical="center"/>
    </xf>
    <xf numFmtId="164" fontId="2" fillId="0" borderId="42" xfId="0" applyNumberFormat="1" applyFont="1" applyBorder="1" applyAlignment="1">
      <alignment horizontal="center" vertical="center"/>
    </xf>
    <xf numFmtId="164" fontId="2" fillId="0" borderId="43" xfId="0" applyNumberFormat="1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164" fontId="2" fillId="0" borderId="41" xfId="0" applyNumberFormat="1" applyFont="1" applyBorder="1" applyAlignment="1">
      <alignment horizontal="center"/>
    </xf>
    <xf numFmtId="164" fontId="2" fillId="0" borderId="42" xfId="0" applyNumberFormat="1" applyFont="1" applyBorder="1" applyAlignment="1">
      <alignment horizontal="center"/>
    </xf>
    <xf numFmtId="164" fontId="2" fillId="0" borderId="42" xfId="0" applyNumberFormat="1" applyFont="1" applyFill="1" applyBorder="1" applyAlignment="1">
      <alignment horizontal="center"/>
    </xf>
    <xf numFmtId="164" fontId="0" fillId="0" borderId="41" xfId="0" applyNumberFormat="1" applyBorder="1" applyAlignment="1">
      <alignment horizontal="center"/>
    </xf>
    <xf numFmtId="164" fontId="0" fillId="0" borderId="42" xfId="0" applyNumberFormat="1" applyBorder="1" applyAlignment="1">
      <alignment horizontal="center"/>
    </xf>
    <xf numFmtId="164" fontId="0" fillId="0" borderId="43" xfId="0" applyNumberFormat="1" applyFont="1" applyBorder="1" applyAlignment="1">
      <alignment horizontal="center"/>
    </xf>
    <xf numFmtId="164" fontId="2" fillId="6" borderId="0" xfId="0" applyNumberFormat="1" applyFont="1" applyFill="1" applyAlignment="1">
      <alignment horizontal="center"/>
    </xf>
    <xf numFmtId="164" fontId="2" fillId="6" borderId="41" xfId="0" applyNumberFormat="1" applyFont="1" applyFill="1" applyBorder="1" applyAlignment="1">
      <alignment horizontal="center" vertical="center"/>
    </xf>
    <xf numFmtId="164" fontId="2" fillId="6" borderId="42" xfId="0" applyNumberFormat="1" applyFont="1" applyFill="1" applyBorder="1" applyAlignment="1">
      <alignment horizontal="center" vertical="center"/>
    </xf>
    <xf numFmtId="164" fontId="2" fillId="6" borderId="43" xfId="0" applyNumberFormat="1" applyFont="1" applyFill="1" applyBorder="1" applyAlignment="1">
      <alignment horizontal="center" vertical="center"/>
    </xf>
    <xf numFmtId="164" fontId="0" fillId="0" borderId="0" xfId="2" applyNumberFormat="1" applyFont="1" applyAlignment="1">
      <alignment horizontal="center"/>
    </xf>
    <xf numFmtId="164" fontId="0" fillId="0" borderId="43" xfId="0" applyNumberFormat="1" applyBorder="1" applyAlignment="1">
      <alignment horizontal="center" vertical="center"/>
    </xf>
    <xf numFmtId="164" fontId="0" fillId="0" borderId="1" xfId="2" applyNumberFormat="1" applyFont="1" applyBorder="1" applyAlignment="1">
      <alignment horizontal="center"/>
    </xf>
    <xf numFmtId="164" fontId="16" fillId="9" borderId="41" xfId="4" quotePrefix="1" applyNumberFormat="1" applyFont="1" applyFill="1" applyBorder="1" applyAlignment="1">
      <alignment horizontal="right" vertical="center"/>
    </xf>
    <xf numFmtId="164" fontId="16" fillId="9" borderId="42" xfId="4" quotePrefix="1" applyNumberFormat="1" applyFont="1" applyFill="1" applyBorder="1" applyAlignment="1">
      <alignment horizontal="right" vertical="center"/>
    </xf>
    <xf numFmtId="164" fontId="16" fillId="9" borderId="43" xfId="4" quotePrefix="1" applyNumberFormat="1" applyFont="1" applyFill="1" applyBorder="1" applyAlignment="1">
      <alignment horizontal="right" vertical="center"/>
    </xf>
    <xf numFmtId="164" fontId="16" fillId="9" borderId="44" xfId="4" quotePrefix="1" applyNumberFormat="1" applyFont="1" applyFill="1" applyBorder="1" applyAlignment="1">
      <alignment horizontal="right" vertical="center"/>
    </xf>
    <xf numFmtId="164" fontId="16" fillId="9" borderId="45" xfId="4" quotePrefix="1" applyNumberFormat="1" applyFont="1" applyFill="1" applyBorder="1" applyAlignment="1">
      <alignment horizontal="right" vertical="center"/>
    </xf>
    <xf numFmtId="164" fontId="16" fillId="9" borderId="46" xfId="4" quotePrefix="1" applyNumberFormat="1" applyFont="1" applyFill="1" applyBorder="1" applyAlignment="1">
      <alignment horizontal="right" vertical="center"/>
    </xf>
    <xf numFmtId="164" fontId="0" fillId="0" borderId="43" xfId="0" applyNumberFormat="1" applyFont="1" applyFill="1" applyBorder="1" applyAlignment="1">
      <alignment horizontal="right"/>
    </xf>
    <xf numFmtId="164" fontId="0" fillId="0" borderId="43" xfId="0" applyNumberFormat="1" applyFont="1" applyBorder="1" applyAlignment="1">
      <alignment horizontal="right"/>
    </xf>
    <xf numFmtId="164" fontId="0" fillId="0" borderId="43" xfId="0" applyNumberFormat="1" applyFont="1" applyFill="1" applyBorder="1" applyAlignment="1">
      <alignment horizontal="right" vertical="center"/>
    </xf>
    <xf numFmtId="3" fontId="2" fillId="0" borderId="0" xfId="0" applyNumberFormat="1" applyFont="1" applyFill="1"/>
    <xf numFmtId="3" fontId="2" fillId="0" borderId="0" xfId="0" applyNumberFormat="1" applyFont="1" applyFill="1" applyAlignment="1">
      <alignment horizontal="right"/>
    </xf>
    <xf numFmtId="3" fontId="2" fillId="0" borderId="0" xfId="2" applyNumberFormat="1" applyFont="1" applyFill="1" applyAlignment="1">
      <alignment horizontal="center"/>
    </xf>
    <xf numFmtId="164" fontId="2" fillId="0" borderId="0" xfId="2" applyNumberFormat="1" applyFont="1" applyFill="1" applyAlignment="1">
      <alignment horizontal="center"/>
    </xf>
    <xf numFmtId="164" fontId="0" fillId="0" borderId="47" xfId="0" applyNumberFormat="1" applyBorder="1" applyAlignment="1">
      <alignment horizontal="center" vertical="center"/>
    </xf>
    <xf numFmtId="164" fontId="0" fillId="0" borderId="48" xfId="0" applyNumberFormat="1" applyBorder="1" applyAlignment="1">
      <alignment horizontal="center" vertical="center"/>
    </xf>
    <xf numFmtId="164" fontId="0" fillId="0" borderId="49" xfId="0" applyNumberFormat="1" applyBorder="1" applyAlignment="1">
      <alignment horizontal="center" vertical="center"/>
    </xf>
    <xf numFmtId="1" fontId="7" fillId="8" borderId="0" xfId="0" applyNumberFormat="1" applyFont="1" applyFill="1" applyAlignment="1">
      <alignment horizontal="center" vertical="center"/>
    </xf>
    <xf numFmtId="0" fontId="34" fillId="0" borderId="51" xfId="0" applyFont="1" applyBorder="1" applyAlignment="1">
      <alignment horizontal="center"/>
    </xf>
    <xf numFmtId="0" fontId="24" fillId="0" borderId="51" xfId="0" applyFont="1" applyBorder="1" applyAlignment="1">
      <alignment horizontal="center"/>
    </xf>
    <xf numFmtId="0" fontId="13" fillId="0" borderId="11" xfId="0" applyFont="1" applyFill="1" applyBorder="1" applyAlignment="1">
      <alignment horizontal="center" wrapText="1"/>
    </xf>
    <xf numFmtId="0" fontId="13" fillId="0" borderId="11" xfId="0" applyFont="1" applyFill="1" applyBorder="1" applyAlignment="1">
      <alignment horizontal="center"/>
    </xf>
    <xf numFmtId="166" fontId="0" fillId="0" borderId="0" xfId="0" applyNumberFormat="1" applyFont="1" applyFill="1" applyAlignment="1">
      <alignment horizontal="center"/>
    </xf>
    <xf numFmtId="0" fontId="20" fillId="9" borderId="23" xfId="0" applyFont="1" applyFill="1" applyBorder="1" applyAlignment="1">
      <alignment horizontal="center" vertical="center" wrapText="1"/>
    </xf>
    <xf numFmtId="0" fontId="20" fillId="9" borderId="8" xfId="0" applyFont="1" applyFill="1" applyBorder="1" applyAlignment="1">
      <alignment horizontal="center" vertical="center" wrapText="1"/>
    </xf>
    <xf numFmtId="166" fontId="20" fillId="0" borderId="52" xfId="0" applyNumberFormat="1" applyFont="1" applyFill="1" applyBorder="1" applyAlignment="1">
      <alignment horizontal="center" vertical="center" wrapText="1"/>
    </xf>
    <xf numFmtId="166" fontId="20" fillId="9" borderId="12" xfId="0" applyNumberFormat="1" applyFont="1" applyFill="1" applyBorder="1" applyAlignment="1">
      <alignment horizontal="center" vertical="center" wrapText="1"/>
    </xf>
    <xf numFmtId="166" fontId="21" fillId="9" borderId="12" xfId="2" applyNumberFormat="1" applyFont="1" applyFill="1" applyBorder="1" applyAlignment="1">
      <alignment horizontal="center"/>
    </xf>
    <xf numFmtId="42" fontId="16" fillId="0" borderId="14" xfId="4" applyNumberFormat="1" applyFont="1" applyFill="1" applyBorder="1" applyAlignment="1">
      <alignment horizontal="center" vertical="center" wrapText="1"/>
    </xf>
    <xf numFmtId="0" fontId="17" fillId="0" borderId="53" xfId="0" applyFont="1" applyFill="1" applyBorder="1" applyAlignment="1">
      <alignment horizontal="center" vertical="center" wrapText="1"/>
    </xf>
    <xf numFmtId="42" fontId="35" fillId="0" borderId="0" xfId="4" applyNumberFormat="1" applyFont="1" applyBorder="1" applyAlignment="1"/>
    <xf numFmtId="0" fontId="36" fillId="0" borderId="0" xfId="0" applyFont="1"/>
    <xf numFmtId="0" fontId="37" fillId="0" borderId="0" xfId="0" applyFont="1"/>
    <xf numFmtId="0" fontId="38" fillId="0" borderId="0" xfId="0" applyFont="1"/>
    <xf numFmtId="164" fontId="24" fillId="0" borderId="54" xfId="0" applyNumberFormat="1" applyFont="1" applyBorder="1"/>
    <xf numFmtId="0" fontId="24" fillId="0" borderId="54" xfId="0" applyFont="1" applyBorder="1"/>
    <xf numFmtId="9" fontId="24" fillId="0" borderId="54" xfId="0" applyNumberFormat="1" applyFont="1" applyBorder="1"/>
    <xf numFmtId="0" fontId="0" fillId="0" borderId="54" xfId="0" applyBorder="1"/>
    <xf numFmtId="164" fontId="24" fillId="9" borderId="54" xfId="0" applyNumberFormat="1" applyFont="1" applyFill="1" applyBorder="1"/>
    <xf numFmtId="0" fontId="24" fillId="9" borderId="54" xfId="0" applyFont="1" applyFill="1" applyBorder="1"/>
    <xf numFmtId="0" fontId="0" fillId="0" borderId="55" xfId="0" applyBorder="1"/>
    <xf numFmtId="0" fontId="39" fillId="0" borderId="5" xfId="0" applyFont="1" applyBorder="1" applyAlignment="1">
      <alignment horizontal="left"/>
    </xf>
    <xf numFmtId="0" fontId="39" fillId="0" borderId="0" xfId="0" applyFont="1" applyAlignment="1">
      <alignment horizontal="left"/>
    </xf>
    <xf numFmtId="0" fontId="39" fillId="0" borderId="0" xfId="0" applyFont="1" applyBorder="1" applyAlignment="1">
      <alignment horizontal="left"/>
    </xf>
    <xf numFmtId="165" fontId="0" fillId="0" borderId="0" xfId="0" applyNumberFormat="1" applyBorder="1" applyAlignment="1">
      <alignment horizontal="left"/>
    </xf>
    <xf numFmtId="0" fontId="0" fillId="0" borderId="0" xfId="0" applyNumberFormat="1" applyBorder="1" applyAlignment="1">
      <alignment horizontal="left"/>
    </xf>
    <xf numFmtId="165" fontId="0" fillId="0" borderId="0" xfId="0" applyNumberFormat="1" applyBorder="1" applyAlignment="1">
      <alignment horizontal="center"/>
    </xf>
    <xf numFmtId="0" fontId="34" fillId="0" borderId="0" xfId="0" applyFont="1" applyBorder="1" applyAlignment="1">
      <alignment horizontal="left"/>
    </xf>
    <xf numFmtId="164" fontId="5" fillId="0" borderId="0" xfId="0" applyNumberFormat="1" applyFont="1" applyFill="1" applyBorder="1" applyAlignment="1">
      <alignment horizontal="left"/>
    </xf>
    <xf numFmtId="165" fontId="5" fillId="0" borderId="0" xfId="0" applyNumberFormat="1" applyFont="1" applyFill="1" applyBorder="1" applyAlignment="1">
      <alignment horizontal="left"/>
    </xf>
    <xf numFmtId="164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165" fontId="5" fillId="0" borderId="0" xfId="0" applyNumberFormat="1" applyFont="1" applyFill="1" applyBorder="1" applyAlignment="1">
      <alignment horizontal="center"/>
    </xf>
    <xf numFmtId="166" fontId="0" fillId="0" borderId="0" xfId="0" applyNumberFormat="1" applyBorder="1" applyAlignment="1">
      <alignment horizontal="left"/>
    </xf>
    <xf numFmtId="0" fontId="0" fillId="0" borderId="0" xfId="1" applyNumberFormat="1" applyFont="1" applyBorder="1" applyAlignment="1">
      <alignment horizontal="center"/>
    </xf>
    <xf numFmtId="164" fontId="0" fillId="0" borderId="0" xfId="1" applyNumberFormat="1" applyFont="1" applyFill="1" applyBorder="1" applyAlignment="1">
      <alignment horizontal="center"/>
    </xf>
    <xf numFmtId="0" fontId="0" fillId="0" borderId="0" xfId="1" applyNumberFormat="1" applyFont="1" applyFill="1" applyBorder="1" applyAlignment="1">
      <alignment horizontal="center"/>
    </xf>
    <xf numFmtId="164" fontId="0" fillId="0" borderId="0" xfId="0" applyNumberFormat="1" applyAlignment="1">
      <alignment horizontal="left"/>
    </xf>
    <xf numFmtId="164" fontId="2" fillId="0" borderId="0" xfId="0" applyNumberFormat="1" applyFont="1" applyBorder="1" applyAlignment="1">
      <alignment horizontal="center"/>
    </xf>
    <xf numFmtId="164" fontId="2" fillId="0" borderId="0" xfId="1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4" fontId="0" fillId="0" borderId="0" xfId="0" applyNumberFormat="1" applyFont="1" applyAlignment="1">
      <alignment horizontal="center"/>
    </xf>
    <xf numFmtId="165" fontId="39" fillId="0" borderId="0" xfId="0" applyNumberFormat="1" applyFont="1" applyAlignment="1">
      <alignment horizontal="center"/>
    </xf>
    <xf numFmtId="164" fontId="39" fillId="0" borderId="0" xfId="0" applyNumberFormat="1" applyFont="1" applyAlignment="1">
      <alignment horizontal="center"/>
    </xf>
    <xf numFmtId="164" fontId="39" fillId="0" borderId="0" xfId="0" applyNumberFormat="1" applyFont="1" applyAlignment="1">
      <alignment horizontal="left"/>
    </xf>
    <xf numFmtId="0" fontId="29" fillId="0" borderId="12" xfId="5" quotePrefix="1" applyFont="1" applyFill="1" applyBorder="1" applyAlignment="1">
      <alignment horizontal="left" vertical="center"/>
    </xf>
    <xf numFmtId="0" fontId="28" fillId="0" borderId="12" xfId="5" quotePrefix="1" applyFont="1" applyFill="1" applyBorder="1" applyAlignment="1">
      <alignment horizontal="left" vertical="center"/>
    </xf>
    <xf numFmtId="42" fontId="16" fillId="0" borderId="12" xfId="5" quotePrefix="1" applyNumberFormat="1" applyFont="1" applyFill="1" applyBorder="1" applyAlignment="1"/>
    <xf numFmtId="0" fontId="18" fillId="0" borderId="16" xfId="0" applyFont="1" applyFill="1" applyBorder="1" applyAlignment="1">
      <alignment horizontal="left" vertical="center"/>
    </xf>
    <xf numFmtId="37" fontId="16" fillId="0" borderId="0" xfId="4" applyNumberFormat="1" applyFont="1" applyFill="1" applyBorder="1" applyAlignment="1"/>
    <xf numFmtId="42" fontId="15" fillId="9" borderId="0" xfId="4" applyNumberFormat="1" applyFont="1" applyFill="1" applyBorder="1" applyAlignment="1"/>
    <xf numFmtId="0" fontId="29" fillId="0" borderId="27" xfId="4" quotePrefix="1" applyFont="1" applyFill="1" applyBorder="1" applyAlignment="1">
      <alignment horizontal="left"/>
    </xf>
    <xf numFmtId="42" fontId="15" fillId="0" borderId="8" xfId="5" applyNumberFormat="1" applyFont="1" applyFill="1" applyBorder="1" applyAlignment="1"/>
    <xf numFmtId="0" fontId="29" fillId="0" borderId="12" xfId="4" quotePrefix="1" applyFont="1" applyFill="1" applyBorder="1" applyAlignment="1">
      <alignment horizontal="left"/>
    </xf>
    <xf numFmtId="0" fontId="0" fillId="0" borderId="12" xfId="0" applyBorder="1"/>
    <xf numFmtId="0" fontId="29" fillId="13" borderId="12" xfId="4" quotePrefix="1" applyFont="1" applyFill="1" applyBorder="1" applyAlignment="1">
      <alignment horizontal="left"/>
    </xf>
    <xf numFmtId="0" fontId="0" fillId="13" borderId="12" xfId="0" applyFill="1" applyBorder="1"/>
    <xf numFmtId="42" fontId="15" fillId="13" borderId="12" xfId="5" applyNumberFormat="1" applyFont="1" applyFill="1" applyBorder="1" applyAlignment="1"/>
    <xf numFmtId="42" fontId="15" fillId="15" borderId="12" xfId="5" applyNumberFormat="1" applyFont="1" applyFill="1" applyBorder="1" applyAlignment="1"/>
    <xf numFmtId="42" fontId="15" fillId="15" borderId="12" xfId="4" quotePrefix="1" applyNumberFormat="1" applyFont="1" applyFill="1" applyBorder="1" applyAlignment="1">
      <alignment horizontal="right" vertical="center"/>
    </xf>
    <xf numFmtId="0" fontId="0" fillId="0" borderId="12" xfId="0" applyFill="1" applyBorder="1"/>
    <xf numFmtId="0" fontId="29" fillId="16" borderId="12" xfId="4" quotePrefix="1" applyFont="1" applyFill="1" applyBorder="1" applyAlignment="1">
      <alignment horizontal="left"/>
    </xf>
    <xf numFmtId="0" fontId="0" fillId="16" borderId="12" xfId="0" applyFill="1" applyBorder="1"/>
    <xf numFmtId="42" fontId="15" fillId="16" borderId="12" xfId="5" applyNumberFormat="1" applyFont="1" applyFill="1" applyBorder="1" applyAlignment="1"/>
    <xf numFmtId="0" fontId="29" fillId="0" borderId="25" xfId="4" quotePrefix="1" applyFont="1" applyFill="1" applyBorder="1" applyAlignment="1">
      <alignment horizontal="left"/>
    </xf>
    <xf numFmtId="0" fontId="0" fillId="15" borderId="12" xfId="0" applyFill="1" applyBorder="1"/>
    <xf numFmtId="0" fontId="29" fillId="15" borderId="12" xfId="4" quotePrefix="1" applyFont="1" applyFill="1" applyBorder="1" applyAlignment="1">
      <alignment horizontal="left"/>
    </xf>
    <xf numFmtId="0" fontId="29" fillId="0" borderId="12" xfId="4" applyFont="1" applyFill="1" applyBorder="1" applyAlignment="1">
      <alignment horizontal="left"/>
    </xf>
    <xf numFmtId="37" fontId="16" fillId="0" borderId="12" xfId="5" quotePrefix="1" applyNumberFormat="1" applyFont="1" applyFill="1" applyBorder="1" applyAlignment="1">
      <alignment horizontal="fill"/>
    </xf>
    <xf numFmtId="0" fontId="29" fillId="16" borderId="27" xfId="4" quotePrefix="1" applyFont="1" applyFill="1" applyBorder="1" applyAlignment="1">
      <alignment horizontal="left"/>
    </xf>
    <xf numFmtId="0" fontId="29" fillId="16" borderId="25" xfId="4" quotePrefix="1" applyFont="1" applyFill="1" applyBorder="1" applyAlignment="1">
      <alignment horizontal="left"/>
    </xf>
    <xf numFmtId="42" fontId="15" fillId="16" borderId="8" xfId="5" applyNumberFormat="1" applyFont="1" applyFill="1" applyBorder="1" applyAlignment="1"/>
    <xf numFmtId="0" fontId="29" fillId="9" borderId="12" xfId="4" quotePrefix="1" applyFont="1" applyFill="1" applyBorder="1" applyAlignment="1">
      <alignment horizontal="left"/>
    </xf>
    <xf numFmtId="0" fontId="0" fillId="9" borderId="12" xfId="0" applyFill="1" applyBorder="1"/>
    <xf numFmtId="42" fontId="15" fillId="9" borderId="12" xfId="5" applyNumberFormat="1" applyFont="1" applyFill="1" applyBorder="1" applyAlignment="1"/>
    <xf numFmtId="0" fontId="28" fillId="0" borderId="22" xfId="5" quotePrefix="1" applyFont="1" applyFill="1" applyBorder="1" applyAlignment="1">
      <alignment horizontal="left" vertical="center"/>
    </xf>
    <xf numFmtId="0" fontId="41" fillId="3" borderId="11" xfId="0" applyFont="1" applyFill="1" applyBorder="1" applyAlignment="1">
      <alignment horizontal="center"/>
    </xf>
    <xf numFmtId="0" fontId="28" fillId="0" borderId="4" xfId="4" quotePrefix="1" applyFont="1" applyFill="1" applyBorder="1" applyAlignment="1">
      <alignment horizontal="left"/>
    </xf>
    <xf numFmtId="164" fontId="28" fillId="14" borderId="3" xfId="5" quotePrefix="1" applyNumberFormat="1" applyFont="1" applyFill="1" applyBorder="1" applyAlignment="1">
      <alignment horizontal="right" vertical="center"/>
    </xf>
    <xf numFmtId="164" fontId="28" fillId="0" borderId="4" xfId="5" quotePrefix="1" applyNumberFormat="1" applyFont="1" applyFill="1" applyBorder="1" applyAlignment="1">
      <alignment horizontal="fill"/>
    </xf>
    <xf numFmtId="42" fontId="16" fillId="5" borderId="3" xfId="5" quotePrefix="1" applyNumberFormat="1" applyFont="1" applyFill="1" applyBorder="1" applyAlignment="1"/>
    <xf numFmtId="42" fontId="16" fillId="5" borderId="4" xfId="5" quotePrefix="1" applyNumberFormat="1" applyFont="1" applyFill="1" applyBorder="1" applyAlignment="1"/>
    <xf numFmtId="0" fontId="29" fillId="5" borderId="3" xfId="4" quotePrefix="1" applyFont="1" applyFill="1" applyBorder="1" applyAlignment="1">
      <alignment horizontal="left"/>
    </xf>
    <xf numFmtId="0" fontId="29" fillId="5" borderId="4" xfId="4" quotePrefix="1" applyFont="1" applyFill="1" applyBorder="1" applyAlignment="1">
      <alignment horizontal="left"/>
    </xf>
    <xf numFmtId="0" fontId="29" fillId="5" borderId="3" xfId="4" applyFont="1" applyFill="1" applyBorder="1" applyAlignment="1">
      <alignment horizontal="left"/>
    </xf>
    <xf numFmtId="37" fontId="17" fillId="5" borderId="4" xfId="5" quotePrefix="1" applyNumberFormat="1" applyFont="1" applyFill="1" applyBorder="1" applyAlignment="1">
      <alignment horizontal="fill"/>
    </xf>
    <xf numFmtId="0" fontId="28" fillId="5" borderId="3" xfId="5" quotePrefix="1" applyFont="1" applyFill="1" applyBorder="1" applyAlignment="1">
      <alignment horizontal="left" vertical="center"/>
    </xf>
    <xf numFmtId="0" fontId="28" fillId="5" borderId="4" xfId="5" quotePrefix="1" applyFont="1" applyFill="1" applyBorder="1" applyAlignment="1">
      <alignment horizontal="left" vertical="center"/>
    </xf>
    <xf numFmtId="0" fontId="28" fillId="5" borderId="3" xfId="5" quotePrefix="1" applyFont="1" applyFill="1" applyBorder="1" applyAlignment="1">
      <alignment horizontal="left"/>
    </xf>
    <xf numFmtId="0" fontId="28" fillId="5" borderId="4" xfId="5" quotePrefix="1" applyFont="1" applyFill="1" applyBorder="1" applyAlignment="1">
      <alignment horizontal="left"/>
    </xf>
    <xf numFmtId="37" fontId="15" fillId="5" borderId="4" xfId="5" quotePrefix="1" applyNumberFormat="1" applyFont="1" applyFill="1" applyBorder="1" applyAlignment="1">
      <alignment horizontal="fill"/>
    </xf>
    <xf numFmtId="42" fontId="16" fillId="5" borderId="3" xfId="4" quotePrefix="1" applyNumberFormat="1" applyFont="1" applyFill="1" applyBorder="1" applyAlignment="1">
      <alignment horizontal="left"/>
    </xf>
    <xf numFmtId="42" fontId="15" fillId="5" borderId="4" xfId="4" quotePrefix="1" applyNumberFormat="1" applyFont="1" applyFill="1" applyBorder="1" applyAlignment="1"/>
    <xf numFmtId="42" fontId="15" fillId="5" borderId="3" xfId="4" quotePrefix="1" applyNumberFormat="1" applyFont="1" applyFill="1" applyBorder="1" applyAlignment="1"/>
    <xf numFmtId="42" fontId="16" fillId="5" borderId="3" xfId="4" quotePrefix="1" applyNumberFormat="1" applyFont="1" applyFill="1" applyBorder="1" applyAlignment="1"/>
    <xf numFmtId="164" fontId="28" fillId="5" borderId="4" xfId="5" quotePrefix="1" applyNumberFormat="1" applyFont="1" applyFill="1" applyBorder="1" applyAlignment="1">
      <alignment horizontal="fill"/>
    </xf>
    <xf numFmtId="42" fontId="15" fillId="0" borderId="3" xfId="5" applyNumberFormat="1" applyFont="1" applyFill="1" applyBorder="1" applyAlignment="1"/>
    <xf numFmtId="42" fontId="15" fillId="5" borderId="3" xfId="5" quotePrefix="1" applyNumberFormat="1" applyFont="1" applyFill="1" applyBorder="1" applyAlignment="1"/>
    <xf numFmtId="42" fontId="40" fillId="17" borderId="3" xfId="5" quotePrefix="1" applyNumberFormat="1" applyFont="1" applyFill="1" applyBorder="1" applyAlignment="1"/>
    <xf numFmtId="42" fontId="15" fillId="17" borderId="4" xfId="5" quotePrefix="1" applyNumberFormat="1" applyFont="1" applyFill="1" applyBorder="1" applyAlignment="1"/>
    <xf numFmtId="42" fontId="16" fillId="17" borderId="3" xfId="5" quotePrefix="1" applyNumberFormat="1" applyFont="1" applyFill="1" applyBorder="1" applyAlignment="1"/>
    <xf numFmtId="0" fontId="29" fillId="17" borderId="3" xfId="4" quotePrefix="1" applyFont="1" applyFill="1" applyBorder="1" applyAlignment="1">
      <alignment horizontal="left"/>
    </xf>
    <xf numFmtId="0" fontId="29" fillId="17" borderId="3" xfId="4" applyFont="1" applyFill="1" applyBorder="1" applyAlignment="1">
      <alignment horizontal="left"/>
    </xf>
    <xf numFmtId="37" fontId="16" fillId="17" borderId="3" xfId="5" quotePrefix="1" applyNumberFormat="1" applyFont="1" applyFill="1" applyBorder="1" applyAlignment="1">
      <alignment horizontal="fill"/>
    </xf>
    <xf numFmtId="0" fontId="28" fillId="17" borderId="3" xfId="5" quotePrefix="1" applyFont="1" applyFill="1" applyBorder="1" applyAlignment="1">
      <alignment horizontal="left" vertical="center"/>
    </xf>
    <xf numFmtId="0" fontId="28" fillId="17" borderId="3" xfId="5" quotePrefix="1" applyFont="1" applyFill="1" applyBorder="1" applyAlignment="1">
      <alignment horizontal="left"/>
    </xf>
    <xf numFmtId="37" fontId="15" fillId="17" borderId="3" xfId="5" quotePrefix="1" applyNumberFormat="1" applyFont="1" applyFill="1" applyBorder="1" applyAlignment="1">
      <alignment horizontal="fill"/>
    </xf>
    <xf numFmtId="42" fontId="16" fillId="17" borderId="3" xfId="4" quotePrefix="1" applyNumberFormat="1" applyFont="1" applyFill="1" applyBorder="1" applyAlignment="1">
      <alignment horizontal="left"/>
    </xf>
    <xf numFmtId="42" fontId="15" fillId="17" borderId="3" xfId="4" quotePrefix="1" applyNumberFormat="1" applyFont="1" applyFill="1" applyBorder="1" applyAlignment="1"/>
    <xf numFmtId="42" fontId="16" fillId="17" borderId="3" xfId="4" quotePrefix="1" applyNumberFormat="1" applyFont="1" applyFill="1" applyBorder="1" applyAlignment="1"/>
    <xf numFmtId="8" fontId="29" fillId="17" borderId="4" xfId="4" quotePrefix="1" applyNumberFormat="1" applyFont="1" applyFill="1" applyBorder="1" applyAlignment="1">
      <alignment horizontal="right"/>
    </xf>
    <xf numFmtId="164" fontId="28" fillId="17" borderId="3" xfId="5" quotePrefix="1" applyNumberFormat="1" applyFont="1" applyFill="1" applyBorder="1" applyAlignment="1">
      <alignment horizontal="fill"/>
    </xf>
    <xf numFmtId="0" fontId="29" fillId="17" borderId="4" xfId="4" quotePrefix="1" applyFont="1" applyFill="1" applyBorder="1" applyAlignment="1">
      <alignment horizontal="left"/>
    </xf>
    <xf numFmtId="37" fontId="15" fillId="0" borderId="4" xfId="4" applyNumberFormat="1" applyFont="1" applyFill="1" applyBorder="1" applyAlignment="1"/>
    <xf numFmtId="0" fontId="15" fillId="0" borderId="4" xfId="6" applyFont="1" applyFill="1" applyBorder="1"/>
    <xf numFmtId="0" fontId="28" fillId="18" borderId="4" xfId="5" quotePrefix="1" applyFont="1" applyFill="1" applyBorder="1" applyAlignment="1">
      <alignment horizontal="left" vertical="center"/>
    </xf>
    <xf numFmtId="37" fontId="15" fillId="18" borderId="3" xfId="4" applyNumberFormat="1" applyFont="1" applyFill="1" applyBorder="1" applyAlignment="1"/>
    <xf numFmtId="0" fontId="15" fillId="18" borderId="3" xfId="6" applyFont="1" applyFill="1" applyBorder="1"/>
    <xf numFmtId="37" fontId="16" fillId="18" borderId="0" xfId="5" quotePrefix="1" applyNumberFormat="1" applyFont="1" applyFill="1" applyBorder="1" applyAlignment="1">
      <alignment horizontal="fill"/>
    </xf>
    <xf numFmtId="0" fontId="28" fillId="18" borderId="3" xfId="5" quotePrefix="1" applyFont="1" applyFill="1" applyBorder="1" applyAlignment="1">
      <alignment horizontal="left" vertical="center"/>
    </xf>
    <xf numFmtId="42" fontId="16" fillId="18" borderId="4" xfId="5" quotePrefix="1" applyNumberFormat="1" applyFont="1" applyFill="1" applyBorder="1" applyAlignment="1"/>
    <xf numFmtId="42" fontId="40" fillId="18" borderId="3" xfId="5" quotePrefix="1" applyNumberFormat="1" applyFont="1" applyFill="1" applyBorder="1" applyAlignment="1"/>
    <xf numFmtId="42" fontId="15" fillId="5" borderId="4" xfId="5" quotePrefix="1" applyNumberFormat="1" applyFont="1" applyFill="1" applyBorder="1" applyAlignment="1"/>
    <xf numFmtId="0" fontId="28" fillId="5" borderId="3" xfId="4" quotePrefix="1" applyFont="1" applyFill="1" applyBorder="1" applyAlignment="1">
      <alignment horizontal="left"/>
    </xf>
    <xf numFmtId="42" fontId="15" fillId="18" borderId="3" xfId="4" quotePrefix="1" applyNumberFormat="1" applyFont="1" applyFill="1" applyBorder="1" applyAlignment="1"/>
    <xf numFmtId="0" fontId="29" fillId="18" borderId="3" xfId="4" quotePrefix="1" applyFont="1" applyFill="1" applyBorder="1" applyAlignment="1">
      <alignment horizontal="left"/>
    </xf>
    <xf numFmtId="37" fontId="15" fillId="18" borderId="3" xfId="5" quotePrefix="1" applyNumberFormat="1" applyFont="1" applyFill="1" applyBorder="1" applyAlignment="1">
      <alignment horizontal="fill"/>
    </xf>
    <xf numFmtId="0" fontId="28" fillId="18" borderId="3" xfId="5" quotePrefix="1" applyFont="1" applyFill="1" applyBorder="1" applyAlignment="1">
      <alignment horizontal="left"/>
    </xf>
    <xf numFmtId="0" fontId="28" fillId="18" borderId="3" xfId="4" quotePrefix="1" applyFont="1" applyFill="1" applyBorder="1" applyAlignment="1">
      <alignment horizontal="left"/>
    </xf>
    <xf numFmtId="42" fontId="15" fillId="18" borderId="3" xfId="5" quotePrefix="1" applyNumberFormat="1" applyFont="1" applyFill="1" applyBorder="1" applyAlignment="1"/>
    <xf numFmtId="42" fontId="15" fillId="5" borderId="3" xfId="4" quotePrefix="1" applyNumberFormat="1" applyFont="1" applyFill="1" applyBorder="1" applyAlignment="1">
      <alignment horizontal="left"/>
    </xf>
    <xf numFmtId="0" fontId="24" fillId="18" borderId="25" xfId="0" applyFont="1" applyFill="1" applyBorder="1"/>
    <xf numFmtId="0" fontId="0" fillId="18" borderId="25" xfId="0" applyFont="1" applyFill="1" applyBorder="1"/>
    <xf numFmtId="0" fontId="28" fillId="18" borderId="12" xfId="5" quotePrefix="1" applyFont="1" applyFill="1" applyBorder="1" applyAlignment="1">
      <alignment horizontal="left" vertical="center"/>
    </xf>
    <xf numFmtId="0" fontId="29" fillId="18" borderId="25" xfId="4" quotePrefix="1" applyFont="1" applyFill="1" applyBorder="1" applyAlignment="1">
      <alignment horizontal="left"/>
    </xf>
    <xf numFmtId="37" fontId="15" fillId="18" borderId="12" xfId="5" quotePrefix="1" applyNumberFormat="1" applyFont="1" applyFill="1" applyBorder="1" applyAlignment="1">
      <alignment horizontal="fill"/>
    </xf>
    <xf numFmtId="42" fontId="16" fillId="18" borderId="12" xfId="5" quotePrefix="1" applyNumberFormat="1" applyFont="1" applyFill="1" applyBorder="1" applyAlignment="1"/>
    <xf numFmtId="0" fontId="28" fillId="18" borderId="12" xfId="5" quotePrefix="1" applyFont="1" applyFill="1" applyBorder="1" applyAlignment="1">
      <alignment horizontal="left"/>
    </xf>
    <xf numFmtId="0" fontId="29" fillId="18" borderId="12" xfId="4" quotePrefix="1" applyFont="1" applyFill="1" applyBorder="1" applyAlignment="1">
      <alignment horizontal="left"/>
    </xf>
    <xf numFmtId="0" fontId="29" fillId="18" borderId="12" xfId="4" applyFont="1" applyFill="1" applyBorder="1" applyAlignment="1">
      <alignment horizontal="left"/>
    </xf>
    <xf numFmtId="42" fontId="15" fillId="18" borderId="12" xfId="4" quotePrefix="1" applyNumberFormat="1" applyFont="1" applyFill="1" applyBorder="1" applyAlignment="1"/>
    <xf numFmtId="42" fontId="15" fillId="5" borderId="12" xfId="4" quotePrefix="1" applyNumberFormat="1" applyFont="1" applyFill="1" applyBorder="1" applyAlignment="1"/>
    <xf numFmtId="0" fontId="29" fillId="5" borderId="12" xfId="5" quotePrefix="1" applyFont="1" applyFill="1" applyBorder="1" applyAlignment="1">
      <alignment horizontal="left" vertical="center"/>
    </xf>
    <xf numFmtId="0" fontId="28" fillId="5" borderId="12" xfId="5" quotePrefix="1" applyFont="1" applyFill="1" applyBorder="1" applyAlignment="1">
      <alignment horizontal="left" vertical="center"/>
    </xf>
    <xf numFmtId="0" fontId="28" fillId="18" borderId="25" xfId="5" quotePrefix="1" applyFont="1" applyFill="1" applyBorder="1" applyAlignment="1">
      <alignment horizontal="left" vertical="center"/>
    </xf>
    <xf numFmtId="42" fontId="15" fillId="5" borderId="12" xfId="5" quotePrefix="1" applyNumberFormat="1" applyFont="1" applyFill="1" applyBorder="1" applyAlignment="1"/>
    <xf numFmtId="42" fontId="16" fillId="5" borderId="12" xfId="5" quotePrefix="1" applyNumberFormat="1" applyFont="1" applyFill="1" applyBorder="1" applyAlignment="1"/>
    <xf numFmtId="0" fontId="29" fillId="5" borderId="12" xfId="4" quotePrefix="1" applyFont="1" applyFill="1" applyBorder="1" applyAlignment="1">
      <alignment horizontal="left"/>
    </xf>
    <xf numFmtId="0" fontId="28" fillId="5" borderId="12" xfId="5" quotePrefix="1" applyFont="1" applyFill="1" applyBorder="1" applyAlignment="1">
      <alignment horizontal="left"/>
    </xf>
    <xf numFmtId="0" fontId="29" fillId="5" borderId="12" xfId="4" applyFont="1" applyFill="1" applyBorder="1" applyAlignment="1">
      <alignment horizontal="left"/>
    </xf>
    <xf numFmtId="42" fontId="16" fillId="0" borderId="12" xfId="4" quotePrefix="1" applyNumberFormat="1" applyFont="1" applyFill="1" applyBorder="1" applyAlignment="1">
      <alignment horizontal="left" vertical="center"/>
    </xf>
    <xf numFmtId="0" fontId="42" fillId="0" borderId="0" xfId="0" applyFont="1" applyFill="1"/>
    <xf numFmtId="0" fontId="24" fillId="19" borderId="0" xfId="0" applyFont="1" applyFill="1"/>
    <xf numFmtId="0" fontId="28" fillId="19" borderId="2" xfId="5" quotePrefix="1" applyFont="1" applyFill="1" applyBorder="1" applyAlignment="1">
      <alignment horizontal="left" vertical="center"/>
    </xf>
    <xf numFmtId="0" fontId="0" fillId="19" borderId="0" xfId="0" applyFont="1" applyFill="1"/>
    <xf numFmtId="0" fontId="0" fillId="19" borderId="0" xfId="0" applyFont="1" applyFill="1" applyAlignment="1">
      <alignment horizontal="right"/>
    </xf>
    <xf numFmtId="0" fontId="34" fillId="19" borderId="0" xfId="0" applyFont="1" applyFill="1"/>
    <xf numFmtId="0" fontId="34" fillId="19" borderId="0" xfId="0" applyFont="1" applyFill="1" applyAlignment="1">
      <alignment horizontal="right"/>
    </xf>
    <xf numFmtId="0" fontId="34" fillId="19" borderId="0" xfId="0" applyFont="1" applyFill="1" applyBorder="1" applyAlignment="1">
      <alignment horizontal="right"/>
    </xf>
    <xf numFmtId="0" fontId="0" fillId="19" borderId="0" xfId="0" applyFont="1" applyFill="1" applyBorder="1" applyAlignment="1">
      <alignment horizontal="right"/>
    </xf>
    <xf numFmtId="0" fontId="0" fillId="19" borderId="0" xfId="0" applyFont="1" applyFill="1" applyBorder="1"/>
    <xf numFmtId="0" fontId="18" fillId="19" borderId="6" xfId="0" applyFont="1" applyFill="1" applyBorder="1" applyAlignment="1">
      <alignment horizontal="left" vertical="center" wrapText="1"/>
    </xf>
    <xf numFmtId="0" fontId="43" fillId="20" borderId="5" xfId="0" applyFont="1" applyFill="1" applyBorder="1" applyAlignment="1">
      <alignment horizontal="left" vertical="center"/>
    </xf>
    <xf numFmtId="0" fontId="0" fillId="20" borderId="0" xfId="0" applyFont="1" applyFill="1"/>
    <xf numFmtId="0" fontId="18" fillId="20" borderId="4" xfId="0" applyFont="1" applyFill="1" applyBorder="1" applyAlignment="1">
      <alignment horizontal="left" vertical="center" wrapText="1"/>
    </xf>
    <xf numFmtId="0" fontId="0" fillId="20" borderId="0" xfId="0" applyFill="1"/>
    <xf numFmtId="0" fontId="24" fillId="20" borderId="0" xfId="0" applyFont="1" applyFill="1" applyAlignment="1">
      <alignment vertical="center"/>
    </xf>
    <xf numFmtId="42" fontId="19" fillId="20" borderId="4" xfId="5" quotePrefix="1" applyNumberFormat="1" applyFont="1" applyFill="1" applyBorder="1" applyAlignment="1">
      <alignment vertical="center"/>
    </xf>
    <xf numFmtId="42" fontId="44" fillId="20" borderId="3" xfId="5" quotePrefix="1" applyNumberFormat="1" applyFont="1" applyFill="1" applyBorder="1" applyAlignment="1">
      <alignment vertical="center"/>
    </xf>
    <xf numFmtId="0" fontId="43" fillId="20" borderId="3" xfId="0" applyFont="1" applyFill="1" applyBorder="1" applyAlignment="1">
      <alignment horizontal="left" vertical="center"/>
    </xf>
    <xf numFmtId="37" fontId="16" fillId="0" borderId="2" xfId="4" applyNumberFormat="1" applyFont="1" applyFill="1" applyBorder="1" applyAlignment="1"/>
    <xf numFmtId="42" fontId="19" fillId="20" borderId="1" xfId="5" quotePrefix="1" applyNumberFormat="1" applyFont="1" applyFill="1" applyBorder="1" applyAlignment="1">
      <alignment vertical="center"/>
    </xf>
    <xf numFmtId="42" fontId="16" fillId="18" borderId="0" xfId="5" quotePrefix="1" applyNumberFormat="1" applyFont="1" applyFill="1" applyBorder="1" applyAlignment="1"/>
    <xf numFmtId="0" fontId="45" fillId="19" borderId="26" xfId="5" quotePrefix="1" applyFont="1" applyFill="1" applyBorder="1" applyAlignment="1">
      <alignment horizontal="left" vertical="center"/>
    </xf>
    <xf numFmtId="0" fontId="42" fillId="0" borderId="0" xfId="0" applyFont="1"/>
    <xf numFmtId="0" fontId="46" fillId="0" borderId="0" xfId="0" applyFont="1"/>
    <xf numFmtId="37" fontId="16" fillId="18" borderId="3" xfId="4" applyNumberFormat="1" applyFont="1" applyFill="1" applyBorder="1" applyAlignment="1"/>
    <xf numFmtId="37" fontId="16" fillId="18" borderId="4" xfId="4" applyNumberFormat="1" applyFont="1" applyFill="1" applyBorder="1" applyAlignment="1"/>
    <xf numFmtId="0" fontId="0" fillId="18" borderId="0" xfId="0" applyFont="1" applyFill="1"/>
    <xf numFmtId="166" fontId="16" fillId="18" borderId="2" xfId="4" applyNumberFormat="1" applyFont="1" applyFill="1" applyBorder="1" applyAlignment="1"/>
    <xf numFmtId="166" fontId="20" fillId="0" borderId="12" xfId="0" applyNumberFormat="1" applyFont="1" applyBorder="1" applyAlignment="1">
      <alignment horizontal="center" vertical="center" wrapText="1"/>
    </xf>
    <xf numFmtId="37" fontId="16" fillId="0" borderId="3" xfId="4" applyNumberFormat="1" applyFont="1" applyBorder="1"/>
    <xf numFmtId="42" fontId="16" fillId="0" borderId="3" xfId="5" applyNumberFormat="1" applyFont="1" applyFill="1" applyBorder="1" applyAlignment="1"/>
    <xf numFmtId="0" fontId="28" fillId="0" borderId="27" xfId="5" quotePrefix="1" applyFont="1" applyFill="1" applyBorder="1" applyAlignment="1">
      <alignment horizontal="left" vertical="center"/>
    </xf>
    <xf numFmtId="0" fontId="28" fillId="0" borderId="1" xfId="5" quotePrefix="1" applyFont="1" applyFill="1" applyBorder="1" applyAlignment="1">
      <alignment horizontal="left" vertical="center"/>
    </xf>
    <xf numFmtId="42" fontId="16" fillId="0" borderId="8" xfId="4" quotePrefix="1" applyNumberFormat="1" applyFont="1" applyFill="1" applyBorder="1" applyAlignment="1">
      <alignment horizontal="right" vertical="center"/>
    </xf>
    <xf numFmtId="0" fontId="47" fillId="0" borderId="0" xfId="0" applyFont="1"/>
    <xf numFmtId="0" fontId="17" fillId="0" borderId="57" xfId="0" applyFont="1" applyFill="1" applyBorder="1" applyAlignment="1">
      <alignment horizontal="center" vertical="center" wrapText="1"/>
    </xf>
    <xf numFmtId="0" fontId="18" fillId="10" borderId="58" xfId="0" applyFont="1" applyFill="1" applyBorder="1" applyAlignment="1">
      <alignment vertical="center" wrapText="1"/>
    </xf>
    <xf numFmtId="42" fontId="30" fillId="0" borderId="13" xfId="5" quotePrefix="1" applyNumberFormat="1" applyFont="1" applyFill="1" applyBorder="1" applyAlignment="1">
      <alignment vertical="center"/>
    </xf>
    <xf numFmtId="42" fontId="31" fillId="0" borderId="13" xfId="0" applyNumberFormat="1" applyFont="1" applyFill="1" applyBorder="1" applyAlignment="1">
      <alignment horizontal="right" vertical="center"/>
    </xf>
    <xf numFmtId="0" fontId="32" fillId="0" borderId="0" xfId="0" applyFont="1" applyFill="1" applyBorder="1" applyAlignment="1">
      <alignment vertical="center"/>
    </xf>
    <xf numFmtId="42" fontId="23" fillId="0" borderId="0" xfId="0" applyNumberFormat="1" applyFont="1" applyFill="1" applyBorder="1" applyAlignment="1">
      <alignment vertical="center"/>
    </xf>
    <xf numFmtId="0" fontId="0" fillId="0" borderId="0" xfId="0" applyBorder="1"/>
    <xf numFmtId="0" fontId="48" fillId="0" borderId="27" xfId="5" quotePrefix="1" applyFont="1" applyFill="1" applyBorder="1" applyAlignment="1">
      <alignment horizontal="left" vertical="center"/>
    </xf>
    <xf numFmtId="0" fontId="24" fillId="0" borderId="50" xfId="0" applyFont="1" applyBorder="1" applyAlignment="1">
      <alignment horizontal="center"/>
    </xf>
    <xf numFmtId="42" fontId="16" fillId="0" borderId="56" xfId="4" applyNumberFormat="1" applyFont="1" applyBorder="1" applyAlignment="1">
      <alignment horizontal="center"/>
    </xf>
    <xf numFmtId="0" fontId="28" fillId="0" borderId="20" xfId="5" quotePrefix="1" applyFont="1" applyFill="1" applyBorder="1" applyAlignment="1">
      <alignment horizontal="left" vertical="center"/>
    </xf>
    <xf numFmtId="0" fontId="28" fillId="0" borderId="21" xfId="5" quotePrefix="1" applyFont="1" applyFill="1" applyBorder="1" applyAlignment="1">
      <alignment horizontal="left" vertical="center"/>
    </xf>
    <xf numFmtId="0" fontId="28" fillId="0" borderId="22" xfId="5" quotePrefix="1" applyFont="1" applyFill="1" applyBorder="1" applyAlignment="1">
      <alignment horizontal="left" vertical="center"/>
    </xf>
    <xf numFmtId="165" fontId="2" fillId="0" borderId="5" xfId="0" applyNumberFormat="1" applyFont="1" applyBorder="1" applyAlignment="1">
      <alignment horizontal="center"/>
    </xf>
    <xf numFmtId="165" fontId="2" fillId="0" borderId="6" xfId="0" applyNumberFormat="1" applyFont="1" applyBorder="1" applyAlignment="1">
      <alignment horizontal="center"/>
    </xf>
    <xf numFmtId="165" fontId="2" fillId="0" borderId="7" xfId="0" applyNumberFormat="1" applyFont="1" applyBorder="1" applyAlignment="1">
      <alignment horizontal="center"/>
    </xf>
    <xf numFmtId="165" fontId="2" fillId="0" borderId="5" xfId="1" applyNumberFormat="1" applyFont="1" applyBorder="1" applyAlignment="1">
      <alignment horizontal="center"/>
    </xf>
    <xf numFmtId="165" fontId="2" fillId="0" borderId="6" xfId="1" applyNumberFormat="1" applyFont="1" applyBorder="1" applyAlignment="1">
      <alignment horizontal="center"/>
    </xf>
    <xf numFmtId="165" fontId="2" fillId="0" borderId="7" xfId="1" applyNumberFormat="1" applyFont="1" applyBorder="1" applyAlignment="1">
      <alignment horizontal="center"/>
    </xf>
    <xf numFmtId="1" fontId="7" fillId="4" borderId="0" xfId="0" applyNumberFormat="1" applyFont="1" applyFill="1" applyAlignment="1">
      <alignment horizontal="center" vertical="center"/>
    </xf>
    <xf numFmtId="1" fontId="7" fillId="8" borderId="0" xfId="0" applyNumberFormat="1" applyFont="1" applyFill="1" applyAlignment="1">
      <alignment horizontal="center" vertical="center"/>
    </xf>
  </cellXfs>
  <cellStyles count="7">
    <cellStyle name="Comma" xfId="2" builtinId="3"/>
    <cellStyle name="Currency" xfId="1" builtinId="4"/>
    <cellStyle name="Normal" xfId="0" builtinId="0"/>
    <cellStyle name="Normal_staff" xfId="6" xr:uid="{4A3EEBB9-61AE-4739-AD9B-D9D5CC031F22}"/>
    <cellStyle name="Percent" xfId="3" builtinId="5"/>
    <cellStyle name="STYLE1" xfId="4" xr:uid="{79F1BC12-9CC1-4475-B253-84F922F28DDE}"/>
    <cellStyle name="STYLE4" xfId="5" xr:uid="{C2B4D7A8-0647-4035-A65C-AD7FB7430CE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A3A9E2-2FA6-4145-84DF-CBA79F38F5C4}">
  <dimension ref="A1:H29"/>
  <sheetViews>
    <sheetView tabSelected="1" workbookViewId="0">
      <selection activeCell="F29" sqref="F29:F30"/>
    </sheetView>
  </sheetViews>
  <sheetFormatPr defaultRowHeight="14.4" x14ac:dyDescent="0.3"/>
  <cols>
    <col min="1" max="1" width="29.109375" customWidth="1"/>
    <col min="3" max="3" width="9.33203125" customWidth="1"/>
    <col min="4" max="4" width="16.21875" customWidth="1"/>
    <col min="5" max="5" width="16.88671875" customWidth="1"/>
    <col min="6" max="6" width="16.21875" customWidth="1"/>
    <col min="7" max="7" width="14.5546875" customWidth="1"/>
    <col min="8" max="8" width="15.44140625" customWidth="1"/>
  </cols>
  <sheetData>
    <row r="1" spans="1:8" ht="21" thickBot="1" x14ac:dyDescent="0.4">
      <c r="A1" s="115" t="s">
        <v>294</v>
      </c>
      <c r="B1" s="116"/>
      <c r="C1" s="116"/>
      <c r="D1" s="546" t="s">
        <v>268</v>
      </c>
      <c r="E1" s="546"/>
      <c r="F1" s="546"/>
      <c r="G1" s="546"/>
      <c r="H1" s="546"/>
    </row>
    <row r="2" spans="1:8" ht="31.2" x14ac:dyDescent="0.3">
      <c r="A2" s="117"/>
      <c r="B2" s="117"/>
      <c r="C2" s="117"/>
      <c r="D2" s="356" t="s">
        <v>284</v>
      </c>
      <c r="E2" s="356" t="s">
        <v>293</v>
      </c>
      <c r="F2" s="356" t="s">
        <v>285</v>
      </c>
      <c r="G2" s="356" t="s">
        <v>444</v>
      </c>
      <c r="H2" s="356" t="s">
        <v>12</v>
      </c>
    </row>
    <row r="3" spans="1:8" ht="18" x14ac:dyDescent="0.35">
      <c r="A3" s="358" t="s">
        <v>286</v>
      </c>
      <c r="B3" s="118"/>
      <c r="C3" s="118"/>
      <c r="D3" s="357"/>
      <c r="E3" s="357"/>
      <c r="F3" s="357"/>
      <c r="G3" s="368"/>
      <c r="H3" s="368"/>
    </row>
    <row r="4" spans="1:8" ht="15.6" x14ac:dyDescent="0.3">
      <c r="A4" s="359" t="s">
        <v>287</v>
      </c>
      <c r="D4" s="362">
        <f>SUM(E4:H4)</f>
        <v>2400000</v>
      </c>
      <c r="E4" s="362"/>
      <c r="F4" s="362">
        <v>87500</v>
      </c>
      <c r="G4" s="362">
        <v>962250</v>
      </c>
      <c r="H4" s="362">
        <v>1350250</v>
      </c>
    </row>
    <row r="5" spans="1:8" ht="15.6" x14ac:dyDescent="0.3">
      <c r="A5" s="359" t="s">
        <v>288</v>
      </c>
      <c r="D5" s="362">
        <f t="shared" ref="D5:D8" si="0">SUM(E5:H5)</f>
        <v>42400</v>
      </c>
      <c r="E5" s="362"/>
      <c r="F5" s="362">
        <v>42400</v>
      </c>
      <c r="G5" s="362">
        <v>0</v>
      </c>
      <c r="H5" s="362">
        <v>0</v>
      </c>
    </row>
    <row r="6" spans="1:8" ht="15.6" x14ac:dyDescent="0.3">
      <c r="A6" s="359" t="s">
        <v>289</v>
      </c>
      <c r="D6" s="362">
        <f t="shared" si="0"/>
        <v>77500</v>
      </c>
      <c r="E6" s="362">
        <v>50000</v>
      </c>
      <c r="F6" s="362">
        <v>27500</v>
      </c>
      <c r="G6" s="362">
        <v>0</v>
      </c>
      <c r="H6" s="362">
        <v>0</v>
      </c>
    </row>
    <row r="7" spans="1:8" ht="15.6" x14ac:dyDescent="0.3">
      <c r="A7" s="359" t="s">
        <v>291</v>
      </c>
      <c r="D7" s="362">
        <f t="shared" si="0"/>
        <v>140750</v>
      </c>
      <c r="E7" s="362">
        <v>75250</v>
      </c>
      <c r="F7" s="362">
        <v>0</v>
      </c>
      <c r="G7" s="362">
        <v>0</v>
      </c>
      <c r="H7" s="362">
        <v>65500</v>
      </c>
    </row>
    <row r="8" spans="1:8" ht="15.6" x14ac:dyDescent="0.3">
      <c r="A8" s="359" t="s">
        <v>290</v>
      </c>
      <c r="D8" s="362">
        <f t="shared" si="0"/>
        <v>471200</v>
      </c>
      <c r="E8" s="362">
        <v>145000</v>
      </c>
      <c r="F8" s="362">
        <v>31200</v>
      </c>
      <c r="G8" s="362">
        <v>0</v>
      </c>
      <c r="H8" s="362">
        <v>295000</v>
      </c>
    </row>
    <row r="9" spans="1:8" ht="15.6" x14ac:dyDescent="0.3">
      <c r="A9" s="359" t="s">
        <v>292</v>
      </c>
      <c r="D9" s="362"/>
      <c r="E9" s="362"/>
      <c r="F9" s="362"/>
      <c r="G9" s="362"/>
      <c r="H9" s="362"/>
    </row>
    <row r="10" spans="1:8" ht="15.6" x14ac:dyDescent="0.3">
      <c r="A10" s="361" t="s">
        <v>296</v>
      </c>
      <c r="D10" s="362">
        <f>SUM(D4:D8)</f>
        <v>3131850</v>
      </c>
      <c r="E10" s="362">
        <f t="shared" ref="E10:H10" si="1">SUM(E4:E8)</f>
        <v>270250</v>
      </c>
      <c r="F10" s="362">
        <f t="shared" si="1"/>
        <v>188600</v>
      </c>
      <c r="G10" s="362">
        <f t="shared" si="1"/>
        <v>962250</v>
      </c>
      <c r="H10" s="362">
        <f t="shared" si="1"/>
        <v>1710750</v>
      </c>
    </row>
    <row r="11" spans="1:8" ht="15.6" x14ac:dyDescent="0.3">
      <c r="A11" s="359"/>
      <c r="D11" s="362"/>
      <c r="E11" s="362"/>
      <c r="F11" s="362"/>
      <c r="G11" s="362"/>
      <c r="H11" s="362"/>
    </row>
    <row r="12" spans="1:8" ht="18" x14ac:dyDescent="0.35">
      <c r="A12" s="360" t="s">
        <v>295</v>
      </c>
      <c r="D12" s="362"/>
      <c r="E12" s="362"/>
      <c r="F12" s="362"/>
      <c r="G12" s="362"/>
      <c r="H12" s="362"/>
    </row>
    <row r="13" spans="1:8" ht="15.6" x14ac:dyDescent="0.3">
      <c r="A13" s="359" t="s">
        <v>298</v>
      </c>
      <c r="D13" s="362">
        <f t="shared" ref="D13:D22" si="2">SUM(E13:H13)</f>
        <v>1206585.5</v>
      </c>
      <c r="E13" s="362">
        <f>E10*0.58</f>
        <v>156745</v>
      </c>
      <c r="F13" s="362">
        <f>F10*0.62</f>
        <v>116932</v>
      </c>
      <c r="G13" s="362">
        <v>273608.5</v>
      </c>
      <c r="H13" s="362">
        <v>659300</v>
      </c>
    </row>
    <row r="14" spans="1:8" ht="15.6" x14ac:dyDescent="0.3">
      <c r="A14" s="359" t="s">
        <v>299</v>
      </c>
      <c r="D14" s="362">
        <f t="shared" si="2"/>
        <v>821735</v>
      </c>
      <c r="E14" s="362">
        <f>E10*0.02</f>
        <v>5405</v>
      </c>
      <c r="F14" s="362">
        <f>F10*0.42</f>
        <v>79212</v>
      </c>
      <c r="G14" s="362">
        <v>319430</v>
      </c>
      <c r="H14" s="362">
        <v>417688</v>
      </c>
    </row>
    <row r="15" spans="1:8" ht="15.6" x14ac:dyDescent="0.3">
      <c r="A15" s="359" t="s">
        <v>300</v>
      </c>
      <c r="D15" s="362">
        <f t="shared" si="2"/>
        <v>86322.5</v>
      </c>
      <c r="E15" s="362"/>
      <c r="F15" s="362">
        <v>785</v>
      </c>
      <c r="G15" s="362"/>
      <c r="H15" s="362">
        <f>H10*0.05</f>
        <v>85537.5</v>
      </c>
    </row>
    <row r="16" spans="1:8" ht="15.6" x14ac:dyDescent="0.3">
      <c r="A16" s="359" t="s">
        <v>301</v>
      </c>
      <c r="D16" s="362">
        <f t="shared" si="2"/>
        <v>65220</v>
      </c>
      <c r="E16" s="362"/>
      <c r="F16" s="362"/>
      <c r="G16" s="362">
        <f>G10*0.05</f>
        <v>48112.5</v>
      </c>
      <c r="H16" s="362">
        <f>H10*0.01</f>
        <v>17107.5</v>
      </c>
    </row>
    <row r="17" spans="1:8" ht="15.6" x14ac:dyDescent="0.3">
      <c r="A17" s="359" t="s">
        <v>302</v>
      </c>
      <c r="D17" s="362">
        <f t="shared" si="2"/>
        <v>100860</v>
      </c>
      <c r="E17" s="362">
        <f>E10*0.12</f>
        <v>32430</v>
      </c>
      <c r="F17" s="362"/>
      <c r="G17" s="362"/>
      <c r="H17" s="362">
        <f>H10*0.04</f>
        <v>68430</v>
      </c>
    </row>
    <row r="18" spans="1:8" ht="15.6" x14ac:dyDescent="0.3">
      <c r="A18" s="359" t="s">
        <v>303</v>
      </c>
      <c r="D18" s="362">
        <f t="shared" si="2"/>
        <v>271773.75</v>
      </c>
      <c r="E18" s="362">
        <v>67560</v>
      </c>
      <c r="F18" s="362"/>
      <c r="G18" s="362">
        <f>G10*0.15</f>
        <v>144337.5</v>
      </c>
      <c r="H18" s="362">
        <f>H10*0.035</f>
        <v>59876.250000000007</v>
      </c>
    </row>
    <row r="19" spans="1:8" ht="15.6" x14ac:dyDescent="0.3">
      <c r="A19" s="359" t="s">
        <v>304</v>
      </c>
      <c r="D19" s="362">
        <f t="shared" si="2"/>
        <v>10703.75</v>
      </c>
      <c r="E19" s="362"/>
      <c r="F19" s="362">
        <v>2150</v>
      </c>
      <c r="G19" s="362"/>
      <c r="H19" s="362">
        <f>H10*0.005</f>
        <v>8553.75</v>
      </c>
    </row>
    <row r="20" spans="1:8" ht="15.6" x14ac:dyDescent="0.3">
      <c r="A20" s="359" t="s">
        <v>305</v>
      </c>
      <c r="D20" s="362">
        <f t="shared" si="2"/>
        <v>231675</v>
      </c>
      <c r="E20" s="362">
        <f>E10*0.14</f>
        <v>37835</v>
      </c>
      <c r="F20" s="362"/>
      <c r="G20" s="362">
        <f>G10*0.08</f>
        <v>76980</v>
      </c>
      <c r="H20" s="362">
        <v>116860</v>
      </c>
    </row>
    <row r="21" spans="1:8" ht="15.6" x14ac:dyDescent="0.3">
      <c r="A21" s="359" t="s">
        <v>306</v>
      </c>
      <c r="D21" s="362">
        <f t="shared" si="2"/>
        <v>314262.5</v>
      </c>
      <c r="E21" s="362">
        <f>E10*0.28</f>
        <v>75670</v>
      </c>
      <c r="F21" s="362">
        <v>4435</v>
      </c>
      <c r="G21" s="362">
        <f>G10*0.03</f>
        <v>28867.5</v>
      </c>
      <c r="H21" s="362">
        <f>H10*0.12</f>
        <v>205290</v>
      </c>
    </row>
    <row r="22" spans="1:8" ht="15.6" x14ac:dyDescent="0.3">
      <c r="A22" s="359" t="s">
        <v>307</v>
      </c>
      <c r="D22" s="362">
        <f t="shared" si="2"/>
        <v>22712</v>
      </c>
      <c r="E22" s="362">
        <f>E10*0.02</f>
        <v>5405</v>
      </c>
      <c r="F22" s="362">
        <v>600</v>
      </c>
      <c r="G22" s="362"/>
      <c r="H22" s="362">
        <v>16707</v>
      </c>
    </row>
    <row r="23" spans="1:8" ht="15.6" x14ac:dyDescent="0.3">
      <c r="A23" s="359"/>
      <c r="D23" s="362"/>
      <c r="E23" s="362"/>
      <c r="F23" s="362"/>
      <c r="G23" s="362"/>
      <c r="H23" s="362"/>
    </row>
    <row r="24" spans="1:8" ht="15.6" x14ac:dyDescent="0.3">
      <c r="A24" s="361" t="s">
        <v>297</v>
      </c>
      <c r="D24" s="362">
        <f>SUM(D13:D22)</f>
        <v>3131850</v>
      </c>
      <c r="E24" s="362">
        <f t="shared" ref="E24:H24" si="3">SUM(E13:E22)</f>
        <v>381050</v>
      </c>
      <c r="F24" s="362">
        <f t="shared" si="3"/>
        <v>204114</v>
      </c>
      <c r="G24" s="362">
        <f t="shared" si="3"/>
        <v>891336</v>
      </c>
      <c r="H24" s="362">
        <f t="shared" si="3"/>
        <v>1655350</v>
      </c>
    </row>
    <row r="25" spans="1:8" ht="15.6" x14ac:dyDescent="0.3">
      <c r="D25" s="362"/>
      <c r="E25" s="362"/>
      <c r="F25" s="362"/>
      <c r="G25" s="362"/>
      <c r="H25" s="362"/>
    </row>
    <row r="26" spans="1:8" ht="15.6" x14ac:dyDescent="0.3">
      <c r="A26" s="361" t="s">
        <v>308</v>
      </c>
      <c r="D26" s="362">
        <f>D10-D24</f>
        <v>0</v>
      </c>
      <c r="E26" s="366">
        <f t="shared" ref="E26:H26" si="4">E10-E24</f>
        <v>-110800</v>
      </c>
      <c r="F26" s="362">
        <f t="shared" si="4"/>
        <v>-15514</v>
      </c>
      <c r="G26" s="362">
        <f t="shared" si="4"/>
        <v>70914</v>
      </c>
      <c r="H26" s="362">
        <f t="shared" si="4"/>
        <v>55400</v>
      </c>
    </row>
    <row r="27" spans="1:8" ht="15.6" x14ac:dyDescent="0.3">
      <c r="A27" s="361" t="s">
        <v>309</v>
      </c>
      <c r="D27" s="363" t="s">
        <v>310</v>
      </c>
      <c r="E27" s="367"/>
      <c r="F27" s="364">
        <v>0.3</v>
      </c>
      <c r="G27" s="364">
        <v>0.2</v>
      </c>
      <c r="H27" s="364">
        <v>0.5</v>
      </c>
    </row>
    <row r="28" spans="1:8" ht="15.6" x14ac:dyDescent="0.3">
      <c r="D28" s="363" t="s">
        <v>311</v>
      </c>
      <c r="E28" s="367"/>
      <c r="F28" s="366">
        <f>F27*$E26</f>
        <v>-33240</v>
      </c>
      <c r="G28" s="366">
        <f>G27*$E26</f>
        <v>-22160</v>
      </c>
      <c r="H28" s="366">
        <f>H27*$E26</f>
        <v>-55400</v>
      </c>
    </row>
    <row r="29" spans="1:8" ht="15.6" x14ac:dyDescent="0.3">
      <c r="A29" s="361" t="s">
        <v>312</v>
      </c>
      <c r="D29" s="365"/>
      <c r="E29" s="365"/>
      <c r="F29" s="362">
        <f t="shared" ref="F29:G29" si="5">F26+F28</f>
        <v>-48754</v>
      </c>
      <c r="G29" s="362">
        <f t="shared" si="5"/>
        <v>48754</v>
      </c>
      <c r="H29" s="362">
        <f>H26+H28</f>
        <v>0</v>
      </c>
    </row>
  </sheetData>
  <mergeCells count="1">
    <mergeCell ref="D1:H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2DFF54-EC60-4646-BCEF-BBF83308853A}">
  <dimension ref="A1:I72"/>
  <sheetViews>
    <sheetView topLeftCell="A22" zoomScale="90" zoomScaleNormal="90" workbookViewId="0">
      <selection activeCell="A62" sqref="A62"/>
    </sheetView>
  </sheetViews>
  <sheetFormatPr defaultRowHeight="14.4" x14ac:dyDescent="0.3"/>
  <cols>
    <col min="1" max="1" width="40.33203125" customWidth="1"/>
    <col min="3" max="3" width="12.33203125" customWidth="1"/>
    <col min="4" max="4" width="16" customWidth="1"/>
    <col min="5" max="5" width="15.6640625" customWidth="1"/>
    <col min="6" max="6" width="16" customWidth="1"/>
    <col min="7" max="7" width="15.109375" customWidth="1"/>
    <col min="8" max="8" width="15" customWidth="1"/>
    <col min="9" max="9" width="15.109375" customWidth="1"/>
  </cols>
  <sheetData>
    <row r="1" spans="1:9" ht="21" thickBot="1" x14ac:dyDescent="0.4">
      <c r="A1" s="115" t="s">
        <v>72</v>
      </c>
      <c r="B1" s="116"/>
      <c r="C1" s="116"/>
      <c r="D1" s="346" t="s">
        <v>272</v>
      </c>
      <c r="E1" s="346" t="s">
        <v>271</v>
      </c>
      <c r="F1" s="346" t="s">
        <v>270</v>
      </c>
      <c r="G1" s="546" t="s">
        <v>268</v>
      </c>
      <c r="H1" s="546"/>
      <c r="I1" s="347" t="s">
        <v>269</v>
      </c>
    </row>
    <row r="2" spans="1:9" ht="15.6" x14ac:dyDescent="0.3">
      <c r="A2" s="117"/>
      <c r="B2" s="117"/>
      <c r="C2" s="117"/>
      <c r="D2" s="237" t="s">
        <v>279</v>
      </c>
      <c r="E2" s="237" t="s">
        <v>279</v>
      </c>
      <c r="F2" s="237" t="s">
        <v>279</v>
      </c>
      <c r="G2" s="237" t="s">
        <v>213</v>
      </c>
      <c r="H2" s="237" t="s">
        <v>216</v>
      </c>
      <c r="I2" s="237" t="s">
        <v>278</v>
      </c>
    </row>
    <row r="3" spans="1:9" ht="31.8" thickBot="1" x14ac:dyDescent="0.35">
      <c r="A3" s="118"/>
      <c r="B3" s="118"/>
      <c r="C3" s="118"/>
      <c r="D3" s="240" t="s">
        <v>212</v>
      </c>
      <c r="E3" s="240" t="s">
        <v>214</v>
      </c>
      <c r="F3" s="240" t="s">
        <v>264</v>
      </c>
      <c r="G3" s="240" t="s">
        <v>215</v>
      </c>
      <c r="H3" s="240" t="s">
        <v>263</v>
      </c>
      <c r="I3" s="240" t="s">
        <v>262</v>
      </c>
    </row>
    <row r="4" spans="1:9" ht="16.8" thickTop="1" thickBot="1" x14ac:dyDescent="0.35">
      <c r="A4" s="547" t="s">
        <v>535</v>
      </c>
      <c r="B4" s="547"/>
      <c r="C4" s="547"/>
      <c r="D4" s="538"/>
      <c r="E4" s="538"/>
      <c r="F4" s="538"/>
      <c r="G4" s="538"/>
      <c r="H4" s="538"/>
      <c r="I4" s="538"/>
    </row>
    <row r="5" spans="1:9" ht="16.8" thickTop="1" thickBot="1" x14ac:dyDescent="0.35">
      <c r="A5" s="119" t="s">
        <v>163</v>
      </c>
      <c r="B5" s="120"/>
      <c r="C5" s="120"/>
      <c r="D5" s="539"/>
      <c r="E5" s="539"/>
      <c r="F5" s="539"/>
      <c r="G5" s="539"/>
      <c r="H5" s="539"/>
      <c r="I5" s="539"/>
    </row>
    <row r="6" spans="1:9" ht="16.2" thickTop="1" x14ac:dyDescent="0.3">
      <c r="A6" s="121" t="s">
        <v>170</v>
      </c>
      <c r="B6" s="122"/>
      <c r="C6" s="123"/>
      <c r="D6" s="124">
        <f>'Budget With Details'!F7</f>
        <v>136</v>
      </c>
      <c r="E6" s="124">
        <f>'Budget With Details'!G7</f>
        <v>134</v>
      </c>
      <c r="F6" s="124">
        <f>'Budget With Details'!H7</f>
        <v>140</v>
      </c>
      <c r="G6" s="124">
        <f>'Budget With Details'!I7</f>
        <v>141</v>
      </c>
      <c r="H6" s="124">
        <f>'Budget With Details'!K7</f>
        <v>140</v>
      </c>
      <c r="I6" s="124">
        <f>'Budget With Details'!L7</f>
        <v>140</v>
      </c>
    </row>
    <row r="7" spans="1:9" ht="15.6" x14ac:dyDescent="0.3">
      <c r="A7" s="197" t="s">
        <v>179</v>
      </c>
      <c r="B7" s="126"/>
      <c r="C7" s="127"/>
      <c r="D7" s="128">
        <f>'Budget With Details'!F8</f>
        <v>28</v>
      </c>
      <c r="E7" s="128">
        <f>'Budget With Details'!G8</f>
        <v>29</v>
      </c>
      <c r="F7" s="128">
        <f>'Budget With Details'!H8</f>
        <v>28</v>
      </c>
      <c r="G7" s="128">
        <f>'Budget With Details'!I8</f>
        <v>29</v>
      </c>
      <c r="H7" s="128">
        <f>'Budget With Details'!K8</f>
        <v>28</v>
      </c>
      <c r="I7" s="128">
        <f>'Budget With Details'!L8</f>
        <v>27</v>
      </c>
    </row>
    <row r="8" spans="1:9" ht="15.6" x14ac:dyDescent="0.3">
      <c r="A8" s="125" t="s">
        <v>171</v>
      </c>
      <c r="B8" s="126"/>
      <c r="C8" s="127"/>
      <c r="D8" s="128">
        <f>'Budget With Details'!F9</f>
        <v>128</v>
      </c>
      <c r="E8" s="128">
        <f>'Budget With Details'!G9</f>
        <v>133</v>
      </c>
      <c r="F8" s="128">
        <f>'Budget With Details'!H9</f>
        <v>135</v>
      </c>
      <c r="G8" s="128">
        <f>'Budget With Details'!I9</f>
        <v>131</v>
      </c>
      <c r="H8" s="128">
        <f>'Budget With Details'!K9</f>
        <v>135</v>
      </c>
      <c r="I8" s="128">
        <f>'Budget With Details'!L9</f>
        <v>135</v>
      </c>
    </row>
    <row r="9" spans="1:9" ht="15.6" x14ac:dyDescent="0.3">
      <c r="A9" s="125" t="s">
        <v>180</v>
      </c>
      <c r="B9" s="126"/>
      <c r="C9" s="127"/>
      <c r="D9" s="128">
        <f>'Budget With Details'!F10</f>
        <v>29</v>
      </c>
      <c r="E9" s="128">
        <f>'Budget With Details'!G10</f>
        <v>28</v>
      </c>
      <c r="F9" s="128">
        <f>'Budget With Details'!H10</f>
        <v>28</v>
      </c>
      <c r="G9" s="128">
        <f>'Budget With Details'!I10</f>
        <v>27</v>
      </c>
      <c r="H9" s="128">
        <f>'Budget With Details'!K10</f>
        <v>28</v>
      </c>
      <c r="I9" s="128">
        <f>'Budget With Details'!L10</f>
        <v>29</v>
      </c>
    </row>
    <row r="10" spans="1:9" ht="15.6" x14ac:dyDescent="0.3">
      <c r="A10" s="125" t="s">
        <v>77</v>
      </c>
      <c r="B10" s="129"/>
      <c r="C10" s="130"/>
      <c r="D10" s="531">
        <f>'Budget With Details'!F11</f>
        <v>2.5000000000000001E-2</v>
      </c>
      <c r="E10" s="531">
        <f>'Budget With Details'!G11</f>
        <v>0.03</v>
      </c>
      <c r="F10" s="531">
        <f>'Budget With Details'!H11</f>
        <v>0.04</v>
      </c>
      <c r="G10" s="531">
        <f>'Budget With Details'!I11</f>
        <v>0.04</v>
      </c>
      <c r="H10" s="531">
        <f>'Budget With Details'!K11</f>
        <v>0.04</v>
      </c>
      <c r="I10" s="531">
        <f>'Budget With Details'!L11</f>
        <v>0.04</v>
      </c>
    </row>
    <row r="11" spans="1:9" ht="15.6" x14ac:dyDescent="0.3">
      <c r="A11" s="125" t="s">
        <v>172</v>
      </c>
      <c r="B11" s="129"/>
      <c r="C11" s="130"/>
      <c r="D11" s="196">
        <f>'Budget With Details'!F12</f>
        <v>3850</v>
      </c>
      <c r="E11" s="196">
        <f>'Budget With Details'!G12</f>
        <v>3965.5</v>
      </c>
      <c r="F11" s="196">
        <f>'Budget With Details'!H12</f>
        <v>4124.12</v>
      </c>
      <c r="G11" s="196">
        <f>'Budget With Details'!I12</f>
        <v>4289.0847999999996</v>
      </c>
      <c r="H11" s="196">
        <f>'Budget With Details'!K12</f>
        <v>4289.0847999999996</v>
      </c>
      <c r="I11" s="196">
        <f>'Budget With Details'!L12</f>
        <v>4460.6481919999997</v>
      </c>
    </row>
    <row r="12" spans="1:9" ht="15.6" x14ac:dyDescent="0.3">
      <c r="A12" s="125" t="s">
        <v>173</v>
      </c>
      <c r="B12" s="129"/>
      <c r="C12" s="130"/>
      <c r="D12" s="196">
        <f>'Budget With Details'!F13</f>
        <v>3850</v>
      </c>
      <c r="E12" s="196">
        <f>'Budget With Details'!G13</f>
        <v>3965.5</v>
      </c>
      <c r="F12" s="196">
        <f>'Budget With Details'!H13</f>
        <v>4124.12</v>
      </c>
      <c r="G12" s="196">
        <f>'Budget With Details'!I13</f>
        <v>4289.0847999999996</v>
      </c>
      <c r="H12" s="196">
        <f>'Budget With Details'!K13</f>
        <v>4289.0847999999996</v>
      </c>
      <c r="I12" s="196">
        <f>'Budget With Details'!L13</f>
        <v>4460.6481919999997</v>
      </c>
    </row>
    <row r="13" spans="1:9" ht="15.6" x14ac:dyDescent="0.3">
      <c r="A13" s="125" t="s">
        <v>176</v>
      </c>
      <c r="B13" s="192"/>
      <c r="C13" s="193"/>
      <c r="D13" s="194">
        <f>'Budget With Details'!F14</f>
        <v>0.18</v>
      </c>
      <c r="E13" s="194">
        <f>'Budget With Details'!G14</f>
        <v>0.18</v>
      </c>
      <c r="F13" s="194">
        <f>'Budget With Details'!H14</f>
        <v>0.18</v>
      </c>
      <c r="G13" s="194">
        <f>'Budget With Details'!I14</f>
        <v>0.18</v>
      </c>
      <c r="H13" s="194">
        <f>'Budget With Details'!K14</f>
        <v>0.18</v>
      </c>
      <c r="I13" s="194">
        <f>'Budget With Details'!L14</f>
        <v>0.18</v>
      </c>
    </row>
    <row r="14" spans="1:9" ht="15.6" x14ac:dyDescent="0.3">
      <c r="A14" s="125" t="s">
        <v>177</v>
      </c>
      <c r="B14" s="129"/>
      <c r="C14" s="130"/>
      <c r="D14" s="195">
        <f>'Budget With Details'!F15</f>
        <v>182952</v>
      </c>
      <c r="E14" s="195">
        <f>'Budget With Details'!G15</f>
        <v>190581.93</v>
      </c>
      <c r="F14" s="195">
        <f>'Budget With Details'!H15</f>
        <v>204143.94</v>
      </c>
      <c r="G14" s="195">
        <f>'Budget With Details'!I15</f>
        <v>209993.59180799997</v>
      </c>
      <c r="H14" s="195">
        <f>'Budget With Details'!K15</f>
        <v>212309.69759999996</v>
      </c>
      <c r="I14" s="195">
        <f>'Budget With Details'!L15</f>
        <v>220802.08550399999</v>
      </c>
    </row>
    <row r="15" spans="1:9" ht="15.6" x14ac:dyDescent="0.3">
      <c r="A15" s="132"/>
      <c r="B15" s="132"/>
      <c r="C15" s="132"/>
      <c r="D15" s="133"/>
      <c r="E15" s="133"/>
      <c r="F15" s="133"/>
      <c r="G15" s="133"/>
      <c r="H15" s="133"/>
      <c r="I15" s="133"/>
    </row>
    <row r="16" spans="1:9" ht="15.6" x14ac:dyDescent="0.3">
      <c r="A16" s="135" t="s">
        <v>39</v>
      </c>
      <c r="B16" s="136"/>
      <c r="C16" s="136"/>
      <c r="D16" s="137"/>
      <c r="E16" s="137"/>
      <c r="F16" s="137"/>
      <c r="G16" s="137"/>
      <c r="H16" s="137"/>
      <c r="I16" s="137"/>
    </row>
    <row r="17" spans="1:9" ht="15.6" x14ac:dyDescent="0.3">
      <c r="A17" s="138" t="s">
        <v>508</v>
      </c>
      <c r="B17" s="139"/>
      <c r="C17" s="139"/>
      <c r="D17" s="140">
        <f>'Budget With Details'!F18</f>
        <v>1016400</v>
      </c>
      <c r="E17" s="140">
        <f>'Budget With Details'!G18</f>
        <v>1058788.5</v>
      </c>
      <c r="F17" s="140">
        <f>'Budget With Details'!H18</f>
        <v>1134133</v>
      </c>
      <c r="G17" s="140">
        <f>'Budget With Details'!I18</f>
        <v>1166631.0655999999</v>
      </c>
      <c r="H17" s="140">
        <f>'Budget With Details'!K18</f>
        <v>1179498.3199999998</v>
      </c>
      <c r="I17" s="140">
        <f>'Budget With Details'!L18</f>
        <v>1226678.2527999999</v>
      </c>
    </row>
    <row r="18" spans="1:9" ht="15.6" x14ac:dyDescent="0.3">
      <c r="A18" s="532" t="s">
        <v>164</v>
      </c>
      <c r="B18" s="139"/>
      <c r="C18" s="139"/>
      <c r="D18" s="140">
        <f>'Budget With Details'!F19</f>
        <v>65000</v>
      </c>
      <c r="E18" s="140">
        <f>'Budget With Details'!G19</f>
        <v>65000</v>
      </c>
      <c r="F18" s="140">
        <f>'Budget With Details'!H19</f>
        <v>65000</v>
      </c>
      <c r="G18" s="140">
        <f>'Budget With Details'!I19</f>
        <v>67000</v>
      </c>
      <c r="H18" s="140">
        <f>'Budget With Details'!K19</f>
        <v>67000</v>
      </c>
      <c r="I18" s="140">
        <f>'Budget With Details'!L19</f>
        <v>67000</v>
      </c>
    </row>
    <row r="19" spans="1:9" ht="15.6" x14ac:dyDescent="0.3">
      <c r="A19" s="532" t="s">
        <v>78</v>
      </c>
      <c r="B19" s="139"/>
      <c r="C19" s="139"/>
      <c r="D19" s="143">
        <f>'Budget With Details'!F20</f>
        <v>19939.740000000002</v>
      </c>
      <c r="E19" s="143">
        <f>'Budget With Details'!G20</f>
        <v>19939.740000000002</v>
      </c>
      <c r="F19" s="143">
        <f>'Budget With Details'!H20</f>
        <v>19939.740000000002</v>
      </c>
      <c r="G19" s="143">
        <f>'Budget With Details'!I20</f>
        <v>20000</v>
      </c>
      <c r="H19" s="143">
        <f>'Budget With Details'!K20</f>
        <v>21000</v>
      </c>
      <c r="I19" s="143">
        <f>'Budget With Details'!L20</f>
        <v>22050</v>
      </c>
    </row>
    <row r="20" spans="1:9" ht="15.6" x14ac:dyDescent="0.3">
      <c r="A20" s="532" t="s">
        <v>257</v>
      </c>
      <c r="B20" s="139"/>
      <c r="C20" s="139"/>
      <c r="D20" s="140">
        <f>'Budget With Details'!F21</f>
        <v>27500</v>
      </c>
      <c r="E20" s="140">
        <f>'Budget With Details'!G21</f>
        <v>28000</v>
      </c>
      <c r="F20" s="140">
        <f>'Budget With Details'!H21</f>
        <v>28500</v>
      </c>
      <c r="G20" s="140">
        <f>'Budget With Details'!I21</f>
        <v>30000</v>
      </c>
      <c r="H20" s="140">
        <f>'Budget With Details'!K21</f>
        <v>29000</v>
      </c>
      <c r="I20" s="140">
        <f>'Budget With Details'!L21</f>
        <v>29000</v>
      </c>
    </row>
    <row r="21" spans="1:9" ht="15.6" x14ac:dyDescent="0.3">
      <c r="A21" s="532" t="s">
        <v>313</v>
      </c>
      <c r="B21" s="139"/>
      <c r="C21" s="139"/>
      <c r="D21" s="142">
        <f>'Budget With Details'!F22</f>
        <v>62400</v>
      </c>
      <c r="E21" s="142">
        <f>'Budget With Details'!G22</f>
        <v>62400</v>
      </c>
      <c r="F21" s="142">
        <f>'Budget With Details'!H22</f>
        <v>62400</v>
      </c>
      <c r="G21" s="142">
        <f>'Budget With Details'!I22</f>
        <v>62400</v>
      </c>
      <c r="H21" s="142">
        <f>'Budget With Details'!K22</f>
        <v>62400</v>
      </c>
      <c r="I21" s="142">
        <f>'Budget With Details'!L22</f>
        <v>62400</v>
      </c>
    </row>
    <row r="22" spans="1:9" ht="15.6" x14ac:dyDescent="0.3">
      <c r="A22" s="532" t="s">
        <v>507</v>
      </c>
      <c r="B22" s="139"/>
      <c r="C22" s="139"/>
      <c r="D22" s="143">
        <f>'Budget With Details'!F23</f>
        <v>4500</v>
      </c>
      <c r="E22" s="143">
        <f>'Budget With Details'!G23</f>
        <v>4500</v>
      </c>
      <c r="F22" s="143">
        <f>'Budget With Details'!H23</f>
        <v>4600</v>
      </c>
      <c r="G22" s="143">
        <f>'Budget With Details'!I23</f>
        <v>4200</v>
      </c>
      <c r="H22" s="143">
        <f>'Budget With Details'!K23</f>
        <v>4200</v>
      </c>
      <c r="I22" s="143">
        <f>'Budget With Details'!L23</f>
        <v>5000</v>
      </c>
    </row>
    <row r="23" spans="1:9" ht="15.6" x14ac:dyDescent="0.3">
      <c r="A23" s="532" t="s">
        <v>452</v>
      </c>
      <c r="B23" s="139"/>
      <c r="C23" s="139"/>
      <c r="D23" s="143">
        <f>'Budget With Details'!F24</f>
        <v>0</v>
      </c>
      <c r="E23" s="143">
        <f>'Budget With Details'!G24</f>
        <v>0</v>
      </c>
      <c r="F23" s="143">
        <f>'Budget With Details'!H24</f>
        <v>15500</v>
      </c>
      <c r="G23" s="143">
        <f>'Budget With Details'!I24</f>
        <v>15500</v>
      </c>
      <c r="H23" s="143">
        <f>'Budget With Details'!K24</f>
        <v>15500</v>
      </c>
      <c r="I23" s="143">
        <f>'Budget With Details'!L24</f>
        <v>15500</v>
      </c>
    </row>
    <row r="24" spans="1:9" ht="15.6" x14ac:dyDescent="0.3">
      <c r="A24" s="138" t="s">
        <v>505</v>
      </c>
      <c r="B24" s="139"/>
      <c r="C24" s="139"/>
      <c r="D24" s="143">
        <f>'Budget With Details'!F28</f>
        <v>80000</v>
      </c>
      <c r="E24" s="143">
        <f>'Budget With Details'!G28</f>
        <v>82000</v>
      </c>
      <c r="F24" s="143">
        <f>'Budget With Details'!H28</f>
        <v>83000</v>
      </c>
      <c r="G24" s="143">
        <f>'Budget With Details'!I28</f>
        <v>84000</v>
      </c>
      <c r="H24" s="143">
        <f>'Budget With Details'!K28</f>
        <v>85000</v>
      </c>
      <c r="I24" s="143">
        <f>'Budget With Details'!L28</f>
        <v>87000</v>
      </c>
    </row>
    <row r="25" spans="1:9" ht="15.6" x14ac:dyDescent="0.3">
      <c r="A25" s="532" t="s">
        <v>178</v>
      </c>
      <c r="B25" s="139"/>
      <c r="C25" s="139"/>
      <c r="D25" s="143">
        <f>'Budget With Details'!F29</f>
        <v>168590</v>
      </c>
      <c r="E25" s="143">
        <f>'Budget With Details'!G29</f>
        <v>162850</v>
      </c>
      <c r="F25" s="143">
        <f>'Budget With Details'!H29</f>
        <v>172540</v>
      </c>
      <c r="G25" s="143">
        <f>'Budget With Details'!I29</f>
        <v>176850</v>
      </c>
      <c r="H25" s="143">
        <f>'Budget With Details'!K29</f>
        <v>180000</v>
      </c>
      <c r="I25" s="143">
        <f>'Budget With Details'!L29</f>
        <v>182500</v>
      </c>
    </row>
    <row r="26" spans="1:9" ht="15.6" x14ac:dyDescent="0.3">
      <c r="A26" s="138" t="s">
        <v>314</v>
      </c>
      <c r="B26" s="139"/>
      <c r="C26" s="139"/>
      <c r="D26" s="140">
        <f>'Budget With Details'!F30</f>
        <v>12000</v>
      </c>
      <c r="E26" s="140">
        <f>'Budget With Details'!G30</f>
        <v>12000</v>
      </c>
      <c r="F26" s="140">
        <f>'Budget With Details'!H30</f>
        <v>13700</v>
      </c>
      <c r="G26" s="140">
        <f>'Budget With Details'!I30</f>
        <v>13700</v>
      </c>
      <c r="H26" s="140">
        <f>'Budget With Details'!K30</f>
        <v>13700</v>
      </c>
      <c r="I26" s="140">
        <f>'Budget With Details'!L30</f>
        <v>15000</v>
      </c>
    </row>
    <row r="27" spans="1:9" ht="15.6" x14ac:dyDescent="0.3">
      <c r="A27" s="138" t="s">
        <v>79</v>
      </c>
      <c r="B27" s="139"/>
      <c r="C27" s="139"/>
      <c r="D27" s="140">
        <f>'Budget With Details'!F36</f>
        <v>-274428</v>
      </c>
      <c r="E27" s="140">
        <f>'Budget With Details'!G36</f>
        <v>-285872.89500000002</v>
      </c>
      <c r="F27" s="140">
        <f>'Budget With Details'!H36</f>
        <v>-306215.90999999997</v>
      </c>
      <c r="G27" s="140">
        <f>'Budget With Details'!I36</f>
        <v>-314990.387712</v>
      </c>
      <c r="H27" s="140">
        <f>'Budget With Details'!K36</f>
        <v>-318464.54639999993</v>
      </c>
      <c r="I27" s="140">
        <f>'Budget With Details'!L36</f>
        <v>-331203.12825599994</v>
      </c>
    </row>
    <row r="28" spans="1:9" ht="16.2" thickBot="1" x14ac:dyDescent="0.35">
      <c r="A28" s="138"/>
      <c r="B28" s="139"/>
      <c r="C28" s="139"/>
      <c r="D28" s="144"/>
      <c r="E28" s="144"/>
      <c r="F28" s="144"/>
      <c r="G28" s="144"/>
      <c r="H28" s="144"/>
      <c r="I28" s="144"/>
    </row>
    <row r="29" spans="1:9" ht="16.2" thickTop="1" x14ac:dyDescent="0.3">
      <c r="A29" s="146" t="s">
        <v>80</v>
      </c>
      <c r="B29" s="147"/>
      <c r="C29" s="147"/>
      <c r="D29" s="148">
        <f>SUM(D17:D27)</f>
        <v>1181901.74</v>
      </c>
      <c r="E29" s="148">
        <f>SUM(E17:E28)</f>
        <v>1209605.345</v>
      </c>
      <c r="F29" s="148">
        <f>SUM(F17:F28)</f>
        <v>1293096.83</v>
      </c>
      <c r="G29" s="148">
        <f>SUM(G17:G28)</f>
        <v>1325290.6778879999</v>
      </c>
      <c r="H29" s="148">
        <f>SUM(H17:H28)</f>
        <v>1338833.7736</v>
      </c>
      <c r="I29" s="148">
        <f>SUM(I17:I28)</f>
        <v>1380925.124544</v>
      </c>
    </row>
    <row r="30" spans="1:9" ht="16.2" thickBot="1" x14ac:dyDescent="0.35">
      <c r="A30" s="149"/>
      <c r="B30" s="149"/>
      <c r="C30" s="149"/>
      <c r="D30" s="150"/>
      <c r="E30" s="150"/>
      <c r="F30" s="150"/>
      <c r="G30" s="150"/>
      <c r="H30" s="150"/>
      <c r="I30" s="150"/>
    </row>
    <row r="31" spans="1:9" ht="16.2" thickBot="1" x14ac:dyDescent="0.35">
      <c r="A31" s="151" t="s">
        <v>48</v>
      </c>
      <c r="B31" s="152"/>
      <c r="C31" s="152"/>
      <c r="D31" s="153"/>
      <c r="E31" s="153"/>
      <c r="F31" s="153"/>
      <c r="G31" s="153"/>
      <c r="H31" s="153"/>
      <c r="I31" s="153"/>
    </row>
    <row r="32" spans="1:9" ht="15.6" x14ac:dyDescent="0.3">
      <c r="A32" s="181" t="s">
        <v>89</v>
      </c>
      <c r="B32" s="182"/>
      <c r="C32" s="182"/>
      <c r="D32" s="183">
        <f>'Budget With Details'!F52</f>
        <v>718882</v>
      </c>
      <c r="E32" s="183">
        <f>'Budget With Details'!G52</f>
        <v>733967.46</v>
      </c>
      <c r="F32" s="183">
        <f>'Budget With Details'!H52</f>
        <v>748810.84920000006</v>
      </c>
      <c r="G32" s="183">
        <f>'Budget With Details'!I52</f>
        <v>784254.78309400007</v>
      </c>
      <c r="H32" s="183">
        <f>'Budget With Details'!K52</f>
        <v>801699.58478409983</v>
      </c>
      <c r="I32" s="183">
        <f>'Budget With Details'!L52</f>
        <v>730619.70355188998</v>
      </c>
    </row>
    <row r="33" spans="1:9" ht="15.6" x14ac:dyDescent="0.3">
      <c r="A33" s="181" t="s">
        <v>336</v>
      </c>
      <c r="B33" s="182"/>
      <c r="C33" s="182"/>
      <c r="D33" s="183"/>
      <c r="E33" s="183"/>
      <c r="F33" s="183"/>
      <c r="G33" s="183"/>
      <c r="H33" s="183"/>
      <c r="I33" s="183"/>
    </row>
    <row r="34" spans="1:9" ht="15.6" x14ac:dyDescent="0.3">
      <c r="A34" s="181" t="s">
        <v>511</v>
      </c>
      <c r="B34" s="182"/>
      <c r="C34" s="182"/>
      <c r="D34" s="183">
        <f>'Budget With Details'!F67</f>
        <v>19350</v>
      </c>
      <c r="E34" s="183">
        <f>'Budget With Details'!G67</f>
        <v>19400</v>
      </c>
      <c r="F34" s="183">
        <f>'Budget With Details'!H67</f>
        <v>19425</v>
      </c>
      <c r="G34" s="183">
        <f>'Budget With Details'!I67</f>
        <v>19450</v>
      </c>
      <c r="H34" s="183">
        <f>'Budget With Details'!K67</f>
        <v>19475</v>
      </c>
      <c r="I34" s="183">
        <f>'Budget With Details'!L67</f>
        <v>19500</v>
      </c>
    </row>
    <row r="35" spans="1:9" ht="15.6" x14ac:dyDescent="0.3">
      <c r="A35" s="181" t="s">
        <v>512</v>
      </c>
      <c r="B35" s="182"/>
      <c r="C35" s="182"/>
      <c r="D35" s="183">
        <f>'Budget With Details'!F71</f>
        <v>5200</v>
      </c>
      <c r="E35" s="183">
        <f>'Budget With Details'!G71</f>
        <v>5300</v>
      </c>
      <c r="F35" s="183">
        <f>'Budget With Details'!H71</f>
        <v>5400</v>
      </c>
      <c r="G35" s="183">
        <f>'Budget With Details'!I71</f>
        <v>5400</v>
      </c>
      <c r="H35" s="183">
        <f>'Budget With Details'!K71</f>
        <v>5500</v>
      </c>
      <c r="I35" s="183">
        <f>'Budget With Details'!L71</f>
        <v>5500</v>
      </c>
    </row>
    <row r="36" spans="1:9" ht="15.6" x14ac:dyDescent="0.3">
      <c r="A36" s="181" t="s">
        <v>513</v>
      </c>
      <c r="B36" s="182"/>
      <c r="C36" s="182"/>
      <c r="D36" s="183">
        <f>'Budget With Details'!F79</f>
        <v>15308.77</v>
      </c>
      <c r="E36" s="183">
        <f>'Budget With Details'!G79</f>
        <v>11940.46</v>
      </c>
      <c r="F36" s="183">
        <f>'Budget With Details'!H79</f>
        <v>12220</v>
      </c>
      <c r="G36" s="183">
        <f>'Budget With Details'!I79</f>
        <v>16700</v>
      </c>
      <c r="H36" s="183">
        <f>'Budget With Details'!K79</f>
        <v>16550</v>
      </c>
      <c r="I36" s="183">
        <f>'Budget With Details'!L79</f>
        <v>16550</v>
      </c>
    </row>
    <row r="37" spans="1:9" ht="15.6" x14ac:dyDescent="0.3">
      <c r="A37" s="181" t="s">
        <v>514</v>
      </c>
      <c r="B37" s="182"/>
      <c r="C37" s="182"/>
      <c r="D37" s="183">
        <f>'Budget With Details'!F85</f>
        <v>23250</v>
      </c>
      <c r="E37" s="183">
        <f>'Budget With Details'!G85</f>
        <v>23750</v>
      </c>
      <c r="F37" s="183">
        <f>'Budget With Details'!H85</f>
        <v>24250</v>
      </c>
      <c r="G37" s="183">
        <f>'Budget With Details'!I85</f>
        <v>24750</v>
      </c>
      <c r="H37" s="183">
        <f>'Budget With Details'!K85</f>
        <v>24750</v>
      </c>
      <c r="I37" s="183">
        <f>'Budget With Details'!L85</f>
        <v>25000</v>
      </c>
    </row>
    <row r="38" spans="1:9" ht="15.6" x14ac:dyDescent="0.3">
      <c r="A38" s="181" t="s">
        <v>515</v>
      </c>
      <c r="B38" s="182"/>
      <c r="C38" s="182"/>
      <c r="D38" s="183">
        <f>'Budget With Details'!F90</f>
        <v>6500</v>
      </c>
      <c r="E38" s="183">
        <f>'Budget With Details'!G90</f>
        <v>6500</v>
      </c>
      <c r="F38" s="183">
        <f>'Budget With Details'!H90</f>
        <v>6500</v>
      </c>
      <c r="G38" s="183">
        <f>'Budget With Details'!I90</f>
        <v>6500</v>
      </c>
      <c r="H38" s="183">
        <f>'Budget With Details'!K90</f>
        <v>6500</v>
      </c>
      <c r="I38" s="183">
        <f>'Budget With Details'!L90</f>
        <v>6500</v>
      </c>
    </row>
    <row r="39" spans="1:9" ht="15.6" x14ac:dyDescent="0.3">
      <c r="A39" s="181" t="s">
        <v>516</v>
      </c>
      <c r="B39" s="182"/>
      <c r="C39" s="182"/>
      <c r="D39" s="183">
        <f>'Budget With Details'!F99</f>
        <v>46960</v>
      </c>
      <c r="E39" s="183">
        <f>'Budget With Details'!G99</f>
        <v>34005.83</v>
      </c>
      <c r="F39" s="183">
        <f>'Budget With Details'!H99</f>
        <v>55000</v>
      </c>
      <c r="G39" s="183">
        <f>'Budget With Details'!I99</f>
        <v>95000</v>
      </c>
      <c r="H39" s="183">
        <f>'Budget With Details'!K99</f>
        <v>120000</v>
      </c>
      <c r="I39" s="183">
        <f>'Budget With Details'!L99</f>
        <v>135000</v>
      </c>
    </row>
    <row r="40" spans="1:9" ht="15.6" x14ac:dyDescent="0.3">
      <c r="A40" s="181" t="s">
        <v>517</v>
      </c>
      <c r="B40" s="182"/>
      <c r="C40" s="182"/>
      <c r="D40" s="183">
        <f>'Budget With Details'!F104</f>
        <v>750</v>
      </c>
      <c r="E40" s="183">
        <f>'Budget With Details'!G104</f>
        <v>750</v>
      </c>
      <c r="F40" s="183">
        <f>'Budget With Details'!H104</f>
        <v>750</v>
      </c>
      <c r="G40" s="183">
        <f>'Budget With Details'!I104</f>
        <v>750</v>
      </c>
      <c r="H40" s="183">
        <f>'Budget With Details'!K104</f>
        <v>750</v>
      </c>
      <c r="I40" s="183">
        <f>'Budget With Details'!L104</f>
        <v>750</v>
      </c>
    </row>
    <row r="41" spans="1:9" ht="15.6" x14ac:dyDescent="0.3">
      <c r="A41" s="181" t="s">
        <v>518</v>
      </c>
      <c r="B41" s="182"/>
      <c r="C41" s="182"/>
      <c r="D41" s="183"/>
      <c r="E41" s="183"/>
      <c r="F41" s="183"/>
      <c r="G41" s="183"/>
      <c r="H41" s="183"/>
      <c r="I41" s="183"/>
    </row>
    <row r="42" spans="1:9" ht="15.6" x14ac:dyDescent="0.3">
      <c r="A42" s="181" t="s">
        <v>519</v>
      </c>
      <c r="B42" s="182"/>
      <c r="C42" s="182"/>
      <c r="D42" s="183">
        <f>'Budget With Details'!F110</f>
        <v>27157.08</v>
      </c>
      <c r="E42" s="183">
        <f>'Budget With Details'!G110</f>
        <v>27157.08</v>
      </c>
      <c r="F42" s="183">
        <f>'Budget With Details'!H110</f>
        <v>27157.08</v>
      </c>
      <c r="G42" s="183">
        <f>'Budget With Details'!I110</f>
        <v>27157.08</v>
      </c>
      <c r="H42" s="183">
        <f>'Budget With Details'!K110</f>
        <v>27157.08</v>
      </c>
      <c r="I42" s="183">
        <f>'Budget With Details'!L110</f>
        <v>27157.08</v>
      </c>
    </row>
    <row r="43" spans="1:9" ht="15.6" x14ac:dyDescent="0.3">
      <c r="A43" s="181" t="s">
        <v>520</v>
      </c>
      <c r="B43" s="182"/>
      <c r="C43" s="182"/>
      <c r="D43" s="183">
        <f>'Budget With Details'!F111</f>
        <v>0</v>
      </c>
      <c r="E43" s="183">
        <f>'Budget With Details'!G111</f>
        <v>0</v>
      </c>
      <c r="F43" s="183">
        <f>'Budget With Details'!H111</f>
        <v>0</v>
      </c>
      <c r="G43" s="183">
        <f>'Budget With Details'!I111</f>
        <v>0</v>
      </c>
      <c r="H43" s="183">
        <f>'Budget With Details'!K111</f>
        <v>0</v>
      </c>
      <c r="I43" s="183">
        <f>'Budget With Details'!L111</f>
        <v>0</v>
      </c>
    </row>
    <row r="44" spans="1:9" ht="15.6" x14ac:dyDescent="0.3">
      <c r="A44" s="181" t="s">
        <v>521</v>
      </c>
      <c r="B44" s="182"/>
      <c r="C44" s="182"/>
      <c r="D44" s="183">
        <f>'Budget With Details'!F121</f>
        <v>10620</v>
      </c>
      <c r="E44" s="183">
        <f>'Budget With Details'!G121</f>
        <v>33383.519999999997</v>
      </c>
      <c r="F44" s="183">
        <f>'Budget With Details'!H121</f>
        <v>33500</v>
      </c>
      <c r="G44" s="183">
        <f>'Budget With Details'!I121</f>
        <v>36850</v>
      </c>
      <c r="H44" s="183">
        <f>'Budget With Details'!K121</f>
        <v>40535</v>
      </c>
      <c r="I44" s="183">
        <f>'Budget With Details'!L121</f>
        <v>44589</v>
      </c>
    </row>
    <row r="45" spans="1:9" ht="15.6" x14ac:dyDescent="0.3">
      <c r="A45" s="181" t="s">
        <v>522</v>
      </c>
      <c r="B45" s="182"/>
      <c r="C45" s="182"/>
      <c r="D45" s="183">
        <f>'Budget With Details'!F131</f>
        <v>67259</v>
      </c>
      <c r="E45" s="183">
        <f>'Budget With Details'!G131</f>
        <v>26850.74</v>
      </c>
      <c r="F45" s="183">
        <f>'Budget With Details'!H131</f>
        <v>28000</v>
      </c>
      <c r="G45" s="183">
        <f>'Budget With Details'!I131</f>
        <v>30800</v>
      </c>
      <c r="H45" s="183">
        <f>'Budget With Details'!K131</f>
        <v>33880</v>
      </c>
      <c r="I45" s="183">
        <f>'Budget With Details'!L131</f>
        <v>37268</v>
      </c>
    </row>
    <row r="46" spans="1:9" ht="15.6" x14ac:dyDescent="0.3">
      <c r="A46" s="181" t="s">
        <v>523</v>
      </c>
      <c r="B46" s="182"/>
      <c r="C46" s="182"/>
      <c r="D46" s="183">
        <f>'Budget With Details'!F133</f>
        <v>1875</v>
      </c>
      <c r="E46" s="183">
        <f>'Budget With Details'!G133</f>
        <v>1875</v>
      </c>
      <c r="F46" s="183">
        <f>'Budget With Details'!H133</f>
        <v>1925</v>
      </c>
      <c r="G46" s="183">
        <f>'Budget With Details'!I133</f>
        <v>2000</v>
      </c>
      <c r="H46" s="183">
        <f>'Budget With Details'!K133</f>
        <v>1975</v>
      </c>
      <c r="I46" s="183">
        <f>'Budget With Details'!L133</f>
        <v>2000</v>
      </c>
    </row>
    <row r="47" spans="1:9" ht="15.6" x14ac:dyDescent="0.3">
      <c r="A47" s="181" t="s">
        <v>524</v>
      </c>
      <c r="B47" s="182"/>
      <c r="C47" s="182"/>
      <c r="D47" s="183">
        <f>'Budget With Details'!F134</f>
        <v>0</v>
      </c>
      <c r="E47" s="183">
        <f>'Budget With Details'!G134</f>
        <v>0</v>
      </c>
      <c r="F47" s="183">
        <f>'Budget With Details'!H134</f>
        <v>0</v>
      </c>
      <c r="G47" s="183">
        <f>'Budget With Details'!I134</f>
        <v>0</v>
      </c>
      <c r="H47" s="183">
        <f>'Budget With Details'!K134</f>
        <v>0</v>
      </c>
      <c r="I47" s="183">
        <f>'Budget With Details'!L134</f>
        <v>0</v>
      </c>
    </row>
    <row r="48" spans="1:9" ht="15.6" x14ac:dyDescent="0.3">
      <c r="A48" s="181" t="s">
        <v>525</v>
      </c>
      <c r="B48" s="182"/>
      <c r="C48" s="182"/>
      <c r="D48" s="183"/>
      <c r="E48" s="183"/>
      <c r="F48" s="183"/>
      <c r="G48" s="183"/>
      <c r="H48" s="183"/>
      <c r="I48" s="183"/>
    </row>
    <row r="49" spans="1:9" ht="15.6" x14ac:dyDescent="0.3">
      <c r="A49" s="181" t="s">
        <v>526</v>
      </c>
      <c r="B49" s="182"/>
      <c r="C49" s="182"/>
      <c r="D49" s="183">
        <f>'Budget With Details'!F144</f>
        <v>8019.93</v>
      </c>
      <c r="E49" s="183">
        <f>'Budget With Details'!G144</f>
        <v>8019.93</v>
      </c>
      <c r="F49" s="183">
        <f>'Budget With Details'!H144</f>
        <v>8019.93</v>
      </c>
      <c r="G49" s="183">
        <f>'Budget With Details'!I144</f>
        <v>8019.93</v>
      </c>
      <c r="H49" s="183">
        <f>'Budget With Details'!K144</f>
        <v>8019.93</v>
      </c>
      <c r="I49" s="183">
        <f>'Budget With Details'!L144</f>
        <v>8019.93</v>
      </c>
    </row>
    <row r="50" spans="1:9" ht="15.6" x14ac:dyDescent="0.3">
      <c r="A50" s="181" t="s">
        <v>527</v>
      </c>
      <c r="B50" s="182"/>
      <c r="C50" s="182"/>
      <c r="D50" s="183">
        <f>'Budget With Details'!F152</f>
        <v>5400</v>
      </c>
      <c r="E50" s="183">
        <f>'Budget With Details'!G152</f>
        <v>5400</v>
      </c>
      <c r="F50" s="183">
        <f>'Budget With Details'!H152</f>
        <v>5400</v>
      </c>
      <c r="G50" s="183">
        <f>'Budget With Details'!I152</f>
        <v>6950</v>
      </c>
      <c r="H50" s="183">
        <f>'Budget With Details'!K152</f>
        <v>6950</v>
      </c>
      <c r="I50" s="183">
        <f>'Budget With Details'!L152</f>
        <v>7550</v>
      </c>
    </row>
    <row r="51" spans="1:9" ht="15.6" x14ac:dyDescent="0.3">
      <c r="A51" s="181" t="s">
        <v>528</v>
      </c>
      <c r="B51" s="182"/>
      <c r="C51" s="182"/>
      <c r="D51" s="183">
        <f>'Budget With Details'!F167</f>
        <v>9852.41</v>
      </c>
      <c r="E51" s="183">
        <f>'Budget With Details'!G167</f>
        <v>9602.41</v>
      </c>
      <c r="F51" s="183">
        <f>'Budget With Details'!H167</f>
        <v>9802.41</v>
      </c>
      <c r="G51" s="183">
        <f>'Budget With Details'!I167</f>
        <v>10452.41</v>
      </c>
      <c r="H51" s="183">
        <f>'Budget With Details'!K167</f>
        <v>10002.41</v>
      </c>
      <c r="I51" s="183">
        <f>'Budget With Details'!L167</f>
        <v>10202.41</v>
      </c>
    </row>
    <row r="52" spans="1:9" ht="15.6" x14ac:dyDescent="0.3">
      <c r="A52" s="181" t="s">
        <v>529</v>
      </c>
      <c r="B52" s="182"/>
      <c r="C52" s="182"/>
      <c r="D52" s="183">
        <f>'Budget With Details'!F174</f>
        <v>8202.9500000000007</v>
      </c>
      <c r="E52" s="183">
        <f>'Budget With Details'!G174</f>
        <v>8202.9500000000007</v>
      </c>
      <c r="F52" s="183">
        <f>'Budget With Details'!H174</f>
        <v>22820.19</v>
      </c>
      <c r="G52" s="183">
        <f>'Budget With Details'!I174</f>
        <v>23362</v>
      </c>
      <c r="H52" s="183">
        <f>'Budget With Details'!K174</f>
        <v>23862</v>
      </c>
      <c r="I52" s="183">
        <f>'Budget With Details'!L174</f>
        <v>24262</v>
      </c>
    </row>
    <row r="53" spans="1:9" ht="15.6" x14ac:dyDescent="0.3">
      <c r="A53" s="181" t="s">
        <v>530</v>
      </c>
      <c r="B53" s="182"/>
      <c r="C53" s="182"/>
      <c r="D53" s="183">
        <f>'Budget With Details'!F181</f>
        <v>26401.83828</v>
      </c>
      <c r="E53" s="183">
        <f>'Budget With Details'!G181</f>
        <v>27011.317589999999</v>
      </c>
      <c r="F53" s="183">
        <f>'Budget With Details'!H181</f>
        <v>28898.130260000002</v>
      </c>
      <c r="G53" s="183">
        <f>'Budget With Details'!I181</f>
        <v>29606.394913535998</v>
      </c>
      <c r="H53" s="183">
        <f>'Budget With Details'!K181</f>
        <v>29904.343019199998</v>
      </c>
      <c r="I53" s="183">
        <f>'Budget With Details'!L181</f>
        <v>30880.352739967999</v>
      </c>
    </row>
    <row r="54" spans="1:9" ht="15.6" x14ac:dyDescent="0.3">
      <c r="A54" s="181" t="s">
        <v>531</v>
      </c>
      <c r="B54" s="182"/>
      <c r="C54" s="182"/>
      <c r="D54" s="183">
        <f>'Budget With Details'!F191</f>
        <v>3400</v>
      </c>
      <c r="E54" s="183">
        <f>'Budget With Details'!G191</f>
        <v>3400</v>
      </c>
      <c r="F54" s="183">
        <f>'Budget With Details'!H191</f>
        <v>3400</v>
      </c>
      <c r="G54" s="183">
        <f>'Budget With Details'!I191</f>
        <v>3400</v>
      </c>
      <c r="H54" s="183">
        <f>'Budget With Details'!K191</f>
        <v>3400</v>
      </c>
      <c r="I54" s="183">
        <f>'Budget With Details'!L191</f>
        <v>3400</v>
      </c>
    </row>
    <row r="55" spans="1:9" ht="15.6" x14ac:dyDescent="0.3">
      <c r="A55" s="181" t="s">
        <v>532</v>
      </c>
      <c r="B55" s="182"/>
      <c r="C55" s="182"/>
      <c r="D55" s="183">
        <f>'Budget With Details'!F200</f>
        <v>6778.63</v>
      </c>
      <c r="E55" s="183">
        <f>'Budget With Details'!G200</f>
        <v>7028.63</v>
      </c>
      <c r="F55" s="183">
        <f>'Budget With Details'!H200</f>
        <v>7175</v>
      </c>
      <c r="G55" s="183">
        <f>'Budget With Details'!I200</f>
        <v>7875</v>
      </c>
      <c r="H55" s="183">
        <f>'Budget With Details'!K200</f>
        <v>7925</v>
      </c>
      <c r="I55" s="183">
        <f>'Budget With Details'!L200</f>
        <v>8300</v>
      </c>
    </row>
    <row r="56" spans="1:9" ht="16.2" thickBot="1" x14ac:dyDescent="0.35">
      <c r="A56" s="181"/>
      <c r="B56" s="182"/>
      <c r="C56" s="182"/>
      <c r="D56" s="183"/>
      <c r="E56" s="183"/>
      <c r="F56" s="183"/>
      <c r="G56" s="183"/>
      <c r="H56" s="183"/>
      <c r="I56" s="183"/>
    </row>
    <row r="57" spans="1:9" ht="16.2" thickTop="1" x14ac:dyDescent="0.3">
      <c r="A57" s="146" t="s">
        <v>162</v>
      </c>
      <c r="B57" s="147"/>
      <c r="C57" s="147"/>
      <c r="D57" s="148">
        <f t="shared" ref="D57:I57" si="0">+SUM(D32:D56)</f>
        <v>1011167.60828</v>
      </c>
      <c r="E57" s="148">
        <f t="shared" si="0"/>
        <v>993545.32758999988</v>
      </c>
      <c r="F57" s="148">
        <f t="shared" si="0"/>
        <v>1048453.58946</v>
      </c>
      <c r="G57" s="148">
        <f t="shared" si="0"/>
        <v>1139277.598007536</v>
      </c>
      <c r="H57" s="148">
        <f t="shared" si="0"/>
        <v>1188835.3478032998</v>
      </c>
      <c r="I57" s="148">
        <f t="shared" si="0"/>
        <v>1143048.4762918579</v>
      </c>
    </row>
    <row r="58" spans="1:9" ht="15.6" x14ac:dyDescent="0.3">
      <c r="A58" s="534"/>
      <c r="B58" s="535"/>
      <c r="C58" s="535"/>
      <c r="D58" s="536"/>
      <c r="E58" s="536"/>
      <c r="F58" s="536"/>
      <c r="G58" s="536"/>
      <c r="H58" s="536"/>
      <c r="I58" s="536"/>
    </row>
    <row r="59" spans="1:9" ht="17.399999999999999" x14ac:dyDescent="0.3">
      <c r="A59" s="545" t="s">
        <v>533</v>
      </c>
      <c r="B59" s="535"/>
      <c r="C59" s="535"/>
      <c r="D59" s="536">
        <f>D29-D57</f>
        <v>170734.13171999995</v>
      </c>
      <c r="E59" s="536">
        <f t="shared" ref="E59:I59" si="1">E29-E57</f>
        <v>216060.01741000009</v>
      </c>
      <c r="F59" s="536">
        <f t="shared" si="1"/>
        <v>244643.24054000003</v>
      </c>
      <c r="G59" s="536">
        <f t="shared" si="1"/>
        <v>186013.07988046389</v>
      </c>
      <c r="H59" s="536">
        <f t="shared" si="1"/>
        <v>149998.42579670018</v>
      </c>
      <c r="I59" s="536">
        <f t="shared" si="1"/>
        <v>237876.64825214213</v>
      </c>
    </row>
    <row r="60" spans="1:9" ht="17.399999999999999" x14ac:dyDescent="0.3">
      <c r="A60" s="545"/>
      <c r="B60" s="535"/>
      <c r="C60" s="535"/>
      <c r="D60" s="536"/>
      <c r="E60" s="536"/>
      <c r="F60" s="536"/>
      <c r="G60" s="536"/>
      <c r="H60" s="536"/>
      <c r="I60" s="536"/>
    </row>
    <row r="61" spans="1:9" ht="17.399999999999999" x14ac:dyDescent="0.3">
      <c r="A61" s="545"/>
      <c r="B61" s="535"/>
      <c r="C61" s="535"/>
      <c r="D61" s="536"/>
      <c r="E61" s="536"/>
      <c r="F61" s="536"/>
      <c r="G61" s="536"/>
      <c r="H61" s="536"/>
      <c r="I61" s="536"/>
    </row>
    <row r="62" spans="1:9" ht="17.399999999999999" x14ac:dyDescent="0.3">
      <c r="A62" s="545"/>
      <c r="B62" s="535"/>
      <c r="C62" s="535"/>
      <c r="D62" s="536"/>
      <c r="E62" s="536"/>
      <c r="F62" s="536"/>
      <c r="G62" s="536"/>
      <c r="H62" s="536"/>
      <c r="I62" s="536"/>
    </row>
    <row r="63" spans="1:9" ht="16.2" thickBot="1" x14ac:dyDescent="0.35">
      <c r="A63" s="181"/>
      <c r="B63" s="182"/>
      <c r="C63" s="182"/>
      <c r="D63" s="183"/>
      <c r="E63" s="183"/>
      <c r="F63" s="183"/>
      <c r="G63" s="183"/>
      <c r="H63" s="183"/>
      <c r="I63" s="183"/>
    </row>
    <row r="64" spans="1:9" ht="16.8" thickTop="1" thickBot="1" x14ac:dyDescent="0.35">
      <c r="A64" s="547" t="s">
        <v>484</v>
      </c>
      <c r="B64" s="547"/>
      <c r="C64" s="547"/>
      <c r="D64" s="538"/>
      <c r="E64" s="538"/>
      <c r="F64" s="538"/>
      <c r="G64" s="538"/>
      <c r="H64" s="538"/>
      <c r="I64" s="538"/>
    </row>
    <row r="65" spans="1:9" ht="16.2" thickTop="1" x14ac:dyDescent="0.3">
      <c r="A65" s="181" t="s">
        <v>536</v>
      </c>
      <c r="B65" s="182"/>
      <c r="C65" s="182"/>
      <c r="D65" s="183">
        <f>'Capital Budget'!F17</f>
        <v>17550</v>
      </c>
      <c r="E65" s="183">
        <f>'Capital Budget'!G17</f>
        <v>14200</v>
      </c>
      <c r="F65" s="183">
        <f>'Capital Budget'!H17</f>
        <v>9500</v>
      </c>
      <c r="G65" s="183">
        <f>'Capital Budget'!I17</f>
        <v>12650</v>
      </c>
      <c r="H65" s="183">
        <f>'Capital Budget'!K17</f>
        <v>12500</v>
      </c>
      <c r="I65" s="183">
        <f>'Capital Budget'!L17</f>
        <v>19900</v>
      </c>
    </row>
    <row r="66" spans="1:9" ht="15.6" x14ac:dyDescent="0.3">
      <c r="A66" s="185" t="s">
        <v>537</v>
      </c>
      <c r="B66" s="186"/>
      <c r="C66" s="186"/>
      <c r="D66" s="187">
        <f>'Capital Budget'!F37</f>
        <v>12000</v>
      </c>
      <c r="E66" s="187">
        <f>'Capital Budget'!G37</f>
        <v>10000</v>
      </c>
      <c r="F66" s="187">
        <f>'Capital Budget'!H37</f>
        <v>750</v>
      </c>
      <c r="G66" s="187">
        <f>'Capital Budget'!I37</f>
        <v>17650</v>
      </c>
      <c r="H66" s="187">
        <f>'Capital Budget'!K37</f>
        <v>17650</v>
      </c>
      <c r="I66" s="187">
        <f>'Capital Budget'!L37</f>
        <v>33250</v>
      </c>
    </row>
    <row r="67" spans="1:9" ht="16.2" thickBot="1" x14ac:dyDescent="0.35">
      <c r="A67" s="189" t="s">
        <v>538</v>
      </c>
      <c r="B67" s="190"/>
      <c r="C67" s="190"/>
      <c r="D67" s="191">
        <f>D65-D66</f>
        <v>5550</v>
      </c>
      <c r="E67" s="191">
        <f t="shared" ref="E67:I67" si="2">E65-E66</f>
        <v>4200</v>
      </c>
      <c r="F67" s="191">
        <f t="shared" si="2"/>
        <v>8750</v>
      </c>
      <c r="G67" s="191">
        <f t="shared" si="2"/>
        <v>-5000</v>
      </c>
      <c r="H67" s="191">
        <f t="shared" si="2"/>
        <v>-5150</v>
      </c>
      <c r="I67" s="191">
        <f t="shared" si="2"/>
        <v>-13350</v>
      </c>
    </row>
    <row r="68" spans="1:9" ht="15.6" x14ac:dyDescent="0.3">
      <c r="A68" s="540" t="s">
        <v>539</v>
      </c>
      <c r="B68" s="540"/>
      <c r="C68" s="540"/>
      <c r="D68" s="541"/>
      <c r="E68" s="541">
        <f>E67+D67</f>
        <v>9750</v>
      </c>
      <c r="F68" s="541">
        <f>F67+E68</f>
        <v>18500</v>
      </c>
      <c r="G68" s="541"/>
      <c r="H68" s="541">
        <f>H67+F68</f>
        <v>13350</v>
      </c>
      <c r="I68" s="541">
        <f>I67+H68</f>
        <v>0</v>
      </c>
    </row>
    <row r="69" spans="1:9" ht="15.6" x14ac:dyDescent="0.3">
      <c r="A69" s="542"/>
      <c r="B69" s="542"/>
      <c r="C69" s="542"/>
      <c r="D69" s="543"/>
      <c r="E69" s="543"/>
      <c r="F69" s="543"/>
      <c r="G69" s="543"/>
      <c r="H69" s="543"/>
      <c r="I69" s="543"/>
    </row>
    <row r="70" spans="1:9" x14ac:dyDescent="0.3">
      <c r="A70" s="544"/>
      <c r="B70" s="544"/>
      <c r="C70" s="544"/>
      <c r="D70" s="544"/>
      <c r="E70" s="544"/>
      <c r="F70" s="544"/>
      <c r="G70" s="544"/>
      <c r="H70" s="544"/>
      <c r="I70" s="544"/>
    </row>
    <row r="71" spans="1:9" x14ac:dyDescent="0.3">
      <c r="A71" s="544"/>
      <c r="B71" s="544"/>
      <c r="C71" s="544"/>
      <c r="D71" s="544"/>
      <c r="E71" s="544"/>
      <c r="F71" s="544"/>
      <c r="G71" s="544"/>
      <c r="H71" s="544"/>
      <c r="I71" s="544"/>
    </row>
    <row r="72" spans="1:9" x14ac:dyDescent="0.3">
      <c r="A72" s="544"/>
      <c r="B72" s="544"/>
      <c r="C72" s="544"/>
      <c r="D72" s="544"/>
      <c r="E72" s="544"/>
      <c r="F72" s="544"/>
      <c r="G72" s="544"/>
      <c r="H72" s="544"/>
      <c r="I72" s="544"/>
    </row>
  </sheetData>
  <mergeCells count="3">
    <mergeCell ref="G1:H1"/>
    <mergeCell ref="A4:C4"/>
    <mergeCell ref="A64:C6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9E136F-2293-444D-9B65-DAF24B510BBA}">
  <dimension ref="A1:P208"/>
  <sheetViews>
    <sheetView topLeftCell="A182" zoomScale="80" zoomScaleNormal="80" workbookViewId="0">
      <selection activeCell="D162" sqref="D162"/>
    </sheetView>
  </sheetViews>
  <sheetFormatPr defaultColWidth="12.44140625" defaultRowHeight="14.4" x14ac:dyDescent="0.3"/>
  <cols>
    <col min="1" max="1" width="3.88671875" style="134" customWidth="1"/>
    <col min="2" max="2" width="7.33203125" style="134" customWidth="1"/>
    <col min="3" max="3" width="6.21875" style="134" customWidth="1"/>
    <col min="4" max="4" width="27.33203125" style="134" customWidth="1"/>
    <col min="5" max="5" width="8.5546875" style="134" customWidth="1"/>
    <col min="6" max="6" width="17.77734375" style="134" bestFit="1" customWidth="1"/>
    <col min="7" max="7" width="16.21875" style="134" customWidth="1"/>
    <col min="8" max="8" width="17" style="134" customWidth="1"/>
    <col min="9" max="9" width="17.44140625" style="134" customWidth="1"/>
    <col min="10" max="10" width="15.44140625" style="134" customWidth="1"/>
    <col min="11" max="11" width="15.109375" style="134" customWidth="1"/>
    <col min="12" max="12" width="17.77734375" style="134" bestFit="1" customWidth="1"/>
    <col min="13" max="13" width="2.77734375" style="134" customWidth="1"/>
    <col min="14" max="14" width="70.33203125" style="134" customWidth="1"/>
    <col min="15" max="16384" width="12.44140625" style="134"/>
  </cols>
  <sheetData>
    <row r="1" spans="2:14" x14ac:dyDescent="0.3">
      <c r="C1" s="134" t="s">
        <v>217</v>
      </c>
      <c r="F1" s="350">
        <v>2.5000000000000001E-2</v>
      </c>
      <c r="G1" s="350">
        <v>0.03</v>
      </c>
      <c r="H1" s="350">
        <v>0.04</v>
      </c>
      <c r="I1" s="350"/>
      <c r="J1" s="350">
        <v>0.04</v>
      </c>
      <c r="K1" s="350"/>
      <c r="L1" s="350">
        <v>4.4999999999999998E-2</v>
      </c>
    </row>
    <row r="2" spans="2:14" ht="16.2" thickBot="1" x14ac:dyDescent="0.35">
      <c r="F2" s="346" t="s">
        <v>272</v>
      </c>
      <c r="G2" s="346" t="s">
        <v>271</v>
      </c>
      <c r="H2" s="346" t="s">
        <v>270</v>
      </c>
      <c r="I2" s="546" t="s">
        <v>268</v>
      </c>
      <c r="J2" s="546"/>
      <c r="K2" s="546"/>
      <c r="L2" s="347" t="s">
        <v>269</v>
      </c>
    </row>
    <row r="3" spans="2:14" ht="30" customHeight="1" thickBot="1" x14ac:dyDescent="0.45">
      <c r="B3" s="234" t="s">
        <v>453</v>
      </c>
      <c r="C3" s="235"/>
      <c r="D3" s="235"/>
      <c r="E3" s="235"/>
      <c r="F3" s="348" t="s">
        <v>265</v>
      </c>
      <c r="G3" s="348" t="s">
        <v>73</v>
      </c>
      <c r="H3" s="348" t="s">
        <v>74</v>
      </c>
      <c r="I3" s="349" t="s">
        <v>75</v>
      </c>
      <c r="J3" s="349" t="s">
        <v>75</v>
      </c>
      <c r="K3" s="349" t="s">
        <v>75</v>
      </c>
      <c r="L3" s="349" t="s">
        <v>266</v>
      </c>
      <c r="N3" s="48"/>
    </row>
    <row r="4" spans="2:14" ht="18" customHeight="1" x14ac:dyDescent="0.3">
      <c r="B4" s="236"/>
      <c r="C4" s="236"/>
      <c r="D4" s="236"/>
      <c r="E4" s="236"/>
      <c r="F4" s="237" t="s">
        <v>76</v>
      </c>
      <c r="G4" s="237" t="s">
        <v>76</v>
      </c>
      <c r="H4" s="237" t="s">
        <v>76</v>
      </c>
      <c r="I4" s="237" t="s">
        <v>213</v>
      </c>
      <c r="J4" s="237" t="s">
        <v>273</v>
      </c>
      <c r="K4" s="237" t="s">
        <v>216</v>
      </c>
      <c r="L4" s="237" t="s">
        <v>278</v>
      </c>
      <c r="N4" s="238"/>
    </row>
    <row r="5" spans="2:14" ht="31.8" thickBot="1" x14ac:dyDescent="0.35">
      <c r="B5" s="239"/>
      <c r="C5" s="239"/>
      <c r="D5" s="239"/>
      <c r="E5" s="239"/>
      <c r="F5" s="240" t="s">
        <v>212</v>
      </c>
      <c r="G5" s="240" t="s">
        <v>214</v>
      </c>
      <c r="H5" s="240" t="s">
        <v>264</v>
      </c>
      <c r="I5" s="240" t="s">
        <v>215</v>
      </c>
      <c r="J5" s="240" t="s">
        <v>263</v>
      </c>
      <c r="K5" s="240" t="s">
        <v>263</v>
      </c>
      <c r="L5" s="240" t="s">
        <v>262</v>
      </c>
      <c r="N5" s="241"/>
    </row>
    <row r="6" spans="2:14" ht="16.8" thickTop="1" thickBot="1" x14ac:dyDescent="0.35">
      <c r="B6" s="399" t="s">
        <v>163</v>
      </c>
      <c r="C6" s="242"/>
      <c r="D6" s="243"/>
      <c r="E6" s="242"/>
      <c r="F6" s="244"/>
      <c r="G6" s="245"/>
      <c r="H6" s="246"/>
      <c r="I6" s="246"/>
      <c r="J6" s="246"/>
      <c r="K6" s="246"/>
      <c r="L6" s="246"/>
      <c r="N6" s="48"/>
    </row>
    <row r="7" spans="2:14" ht="16.2" customHeight="1" thickTop="1" x14ac:dyDescent="0.3">
      <c r="B7" s="121" t="s">
        <v>170</v>
      </c>
      <c r="C7" s="122"/>
      <c r="D7" s="123"/>
      <c r="E7" s="123"/>
      <c r="F7" s="351">
        <f>Enrollment!D34</f>
        <v>136</v>
      </c>
      <c r="G7" s="351">
        <f>Enrollment!E34</f>
        <v>134</v>
      </c>
      <c r="H7" s="351">
        <f>Enrollment!F34</f>
        <v>140</v>
      </c>
      <c r="I7" s="351">
        <f>Enrollment!G34</f>
        <v>141</v>
      </c>
      <c r="J7" s="351"/>
      <c r="K7" s="351">
        <f>Enrollment!H34</f>
        <v>140</v>
      </c>
      <c r="L7" s="351">
        <f>Enrollment!I34</f>
        <v>140</v>
      </c>
      <c r="N7" s="48"/>
    </row>
    <row r="8" spans="2:14" ht="16.2" customHeight="1" x14ac:dyDescent="0.3">
      <c r="B8" s="197" t="s">
        <v>179</v>
      </c>
      <c r="C8" s="126"/>
      <c r="D8" s="127"/>
      <c r="E8" s="127"/>
      <c r="F8" s="352">
        <f>Enrollment!D35</f>
        <v>28</v>
      </c>
      <c r="G8" s="352">
        <f>Enrollment!E35</f>
        <v>29</v>
      </c>
      <c r="H8" s="352">
        <f>Enrollment!F35</f>
        <v>28</v>
      </c>
      <c r="I8" s="352">
        <f>Enrollment!G35</f>
        <v>29</v>
      </c>
      <c r="J8" s="352"/>
      <c r="K8" s="352">
        <f>Enrollment!H35</f>
        <v>28</v>
      </c>
      <c r="L8" s="352">
        <f>Enrollment!I35</f>
        <v>27</v>
      </c>
      <c r="N8" s="48"/>
    </row>
    <row r="9" spans="2:14" ht="13.05" customHeight="1" x14ac:dyDescent="0.3">
      <c r="B9" s="125" t="s">
        <v>171</v>
      </c>
      <c r="C9" s="126"/>
      <c r="D9" s="127"/>
      <c r="E9" s="127"/>
      <c r="F9" s="352">
        <f>Enrollment!D36</f>
        <v>128</v>
      </c>
      <c r="G9" s="352">
        <f>Enrollment!E36</f>
        <v>133</v>
      </c>
      <c r="H9" s="352">
        <f>Enrollment!F36</f>
        <v>135</v>
      </c>
      <c r="I9" s="352">
        <f>Enrollment!G36</f>
        <v>131</v>
      </c>
      <c r="J9" s="352"/>
      <c r="K9" s="352">
        <f>Enrollment!H36</f>
        <v>135</v>
      </c>
      <c r="L9" s="352">
        <f>Enrollment!I36</f>
        <v>135</v>
      </c>
      <c r="N9" s="48"/>
    </row>
    <row r="10" spans="2:14" ht="13.05" customHeight="1" x14ac:dyDescent="0.3">
      <c r="B10" s="125" t="s">
        <v>180</v>
      </c>
      <c r="C10" s="126"/>
      <c r="D10" s="127"/>
      <c r="E10" s="127"/>
      <c r="F10" s="352">
        <f>Enrollment!D37</f>
        <v>29</v>
      </c>
      <c r="G10" s="352">
        <f>Enrollment!E37</f>
        <v>28</v>
      </c>
      <c r="H10" s="352">
        <f>Enrollment!F37</f>
        <v>28</v>
      </c>
      <c r="I10" s="352">
        <f>Enrollment!G37</f>
        <v>27</v>
      </c>
      <c r="J10" s="352"/>
      <c r="K10" s="352">
        <f>Enrollment!H37</f>
        <v>28</v>
      </c>
      <c r="L10" s="352">
        <f>Enrollment!I37</f>
        <v>29</v>
      </c>
      <c r="N10" s="48"/>
    </row>
    <row r="11" spans="2:14" ht="13.05" customHeight="1" x14ac:dyDescent="0.3">
      <c r="B11" s="125" t="s">
        <v>77</v>
      </c>
      <c r="C11" s="129"/>
      <c r="D11" s="130"/>
      <c r="E11" s="130"/>
      <c r="F11" s="354">
        <f>Enrollment!D38</f>
        <v>2.5000000000000001E-2</v>
      </c>
      <c r="G11" s="354">
        <f>Enrollment!E38</f>
        <v>0.03</v>
      </c>
      <c r="H11" s="354">
        <f>Enrollment!F38</f>
        <v>0.04</v>
      </c>
      <c r="I11" s="354">
        <f>Enrollment!G38</f>
        <v>0.04</v>
      </c>
      <c r="J11" s="354"/>
      <c r="K11" s="354">
        <f>Enrollment!H38</f>
        <v>0.04</v>
      </c>
      <c r="L11" s="354">
        <f>Enrollment!I38</f>
        <v>0.04</v>
      </c>
    </row>
    <row r="12" spans="2:14" ht="15.6" x14ac:dyDescent="0.3">
      <c r="B12" s="125" t="s">
        <v>172</v>
      </c>
      <c r="C12" s="129"/>
      <c r="D12" s="130"/>
      <c r="E12" s="130"/>
      <c r="F12" s="233">
        <v>3850</v>
      </c>
      <c r="G12" s="131">
        <f>Enrollment!E39</f>
        <v>3965.5</v>
      </c>
      <c r="H12" s="131">
        <f>Enrollment!F39</f>
        <v>4124.12</v>
      </c>
      <c r="I12" s="131">
        <f>Enrollment!G39</f>
        <v>4289.0847999999996</v>
      </c>
      <c r="J12" s="131"/>
      <c r="K12" s="131">
        <f>Enrollment!H39</f>
        <v>4289.0847999999996</v>
      </c>
      <c r="L12" s="131">
        <f>Enrollment!I39</f>
        <v>4460.6481919999997</v>
      </c>
    </row>
    <row r="13" spans="2:14" ht="15.6" x14ac:dyDescent="0.3">
      <c r="B13" s="125" t="s">
        <v>173</v>
      </c>
      <c r="C13" s="129"/>
      <c r="D13" s="130"/>
      <c r="E13" s="130"/>
      <c r="F13" s="233">
        <v>3850</v>
      </c>
      <c r="G13" s="131">
        <f>Enrollment!E40</f>
        <v>3965.5</v>
      </c>
      <c r="H13" s="131">
        <f>Enrollment!F40</f>
        <v>4124.12</v>
      </c>
      <c r="I13" s="131">
        <f>Enrollment!G40</f>
        <v>4289.0847999999996</v>
      </c>
      <c r="J13" s="131"/>
      <c r="K13" s="131">
        <f>Enrollment!H40</f>
        <v>4289.0847999999996</v>
      </c>
      <c r="L13" s="131">
        <f>Enrollment!I40</f>
        <v>4460.6481919999997</v>
      </c>
    </row>
    <row r="14" spans="2:14" ht="15.6" x14ac:dyDescent="0.3">
      <c r="B14" s="125" t="s">
        <v>176</v>
      </c>
      <c r="C14" s="192"/>
      <c r="D14" s="193"/>
      <c r="E14" s="193"/>
      <c r="F14" s="355">
        <f>Enrollment!D41</f>
        <v>0.18</v>
      </c>
      <c r="G14" s="355">
        <f>Enrollment!E41</f>
        <v>0.18</v>
      </c>
      <c r="H14" s="355">
        <f>Enrollment!F41</f>
        <v>0.18</v>
      </c>
      <c r="I14" s="355">
        <f>Enrollment!G41</f>
        <v>0.18</v>
      </c>
      <c r="J14" s="355"/>
      <c r="K14" s="355">
        <f>Enrollment!H41</f>
        <v>0.18</v>
      </c>
      <c r="L14" s="355">
        <f>Enrollment!I41</f>
        <v>0.18</v>
      </c>
    </row>
    <row r="15" spans="2:14" ht="15.6" x14ac:dyDescent="0.3">
      <c r="B15" s="125" t="s">
        <v>177</v>
      </c>
      <c r="C15" s="129"/>
      <c r="D15" s="130"/>
      <c r="E15" s="130"/>
      <c r="F15" s="233">
        <f>Enrollment!D42</f>
        <v>182952</v>
      </c>
      <c r="G15" s="233">
        <f>Enrollment!E42</f>
        <v>190581.93</v>
      </c>
      <c r="H15" s="233">
        <f>Enrollment!F42</f>
        <v>204143.94</v>
      </c>
      <c r="I15" s="233">
        <f>Enrollment!G42</f>
        <v>209993.59180799997</v>
      </c>
      <c r="J15" s="233"/>
      <c r="K15" s="233">
        <f>Enrollment!H42</f>
        <v>212309.69759999996</v>
      </c>
      <c r="L15" s="233">
        <f>Enrollment!I42</f>
        <v>220802.08550399999</v>
      </c>
    </row>
    <row r="16" spans="2:14" ht="15.6" x14ac:dyDescent="0.3">
      <c r="B16" s="247"/>
      <c r="C16" s="247"/>
      <c r="D16" s="247"/>
      <c r="E16" s="247"/>
      <c r="F16" s="248"/>
      <c r="G16" s="248"/>
      <c r="H16" s="248"/>
      <c r="I16" s="248"/>
      <c r="J16" s="248"/>
      <c r="K16" s="248"/>
      <c r="L16" s="248"/>
    </row>
    <row r="17" spans="1:14" ht="15.6" x14ac:dyDescent="0.3">
      <c r="A17" s="514"/>
      <c r="B17" s="520" t="s">
        <v>39</v>
      </c>
      <c r="C17" s="515"/>
      <c r="D17" s="515"/>
      <c r="E17" s="515"/>
      <c r="F17" s="251"/>
      <c r="G17" s="251"/>
      <c r="H17" s="252"/>
      <c r="I17" s="252"/>
      <c r="J17" s="252"/>
      <c r="K17" s="252"/>
      <c r="L17" s="252"/>
    </row>
    <row r="18" spans="1:14" ht="15.6" x14ac:dyDescent="0.3">
      <c r="A18" s="514"/>
      <c r="B18" s="138" t="s">
        <v>386</v>
      </c>
      <c r="C18" s="139"/>
      <c r="D18" s="139"/>
      <c r="E18" s="139"/>
      <c r="F18" s="141">
        <f>Enrollment!D47</f>
        <v>1016400</v>
      </c>
      <c r="G18" s="141">
        <f>Enrollment!E47</f>
        <v>1058788.5</v>
      </c>
      <c r="H18" s="141">
        <f>Enrollment!F47</f>
        <v>1134133</v>
      </c>
      <c r="I18" s="141">
        <f>Enrollment!G47</f>
        <v>1166631.0655999999</v>
      </c>
      <c r="J18" s="141"/>
      <c r="K18" s="141">
        <f>Enrollment!H47</f>
        <v>1179498.3199999998</v>
      </c>
      <c r="L18" s="141">
        <f>Enrollment!I47</f>
        <v>1226678.2527999999</v>
      </c>
      <c r="N18" s="253"/>
    </row>
    <row r="19" spans="1:14" ht="15.6" x14ac:dyDescent="0.3">
      <c r="A19" s="514"/>
      <c r="B19" s="138" t="s">
        <v>164</v>
      </c>
      <c r="C19" s="139"/>
      <c r="D19" s="139"/>
      <c r="E19" s="139"/>
      <c r="F19" s="142">
        <f>65000</f>
        <v>65000</v>
      </c>
      <c r="G19" s="142">
        <f>65000</f>
        <v>65000</v>
      </c>
      <c r="H19" s="142">
        <f>65000</f>
        <v>65000</v>
      </c>
      <c r="I19" s="142">
        <v>67000</v>
      </c>
      <c r="J19" s="142"/>
      <c r="K19" s="142">
        <v>67000</v>
      </c>
      <c r="L19" s="142">
        <v>67000</v>
      </c>
    </row>
    <row r="20" spans="1:14" ht="15.6" x14ac:dyDescent="0.3">
      <c r="A20" s="514"/>
      <c r="B20" s="138" t="s">
        <v>78</v>
      </c>
      <c r="C20" s="139"/>
      <c r="D20" s="139"/>
      <c r="E20" s="139"/>
      <c r="F20" s="142">
        <f>19939.74</f>
        <v>19939.740000000002</v>
      </c>
      <c r="G20" s="142">
        <f>19939.74</f>
        <v>19939.740000000002</v>
      </c>
      <c r="H20" s="142">
        <f>19939.74</f>
        <v>19939.740000000002</v>
      </c>
      <c r="I20" s="142">
        <v>20000</v>
      </c>
      <c r="J20" s="142"/>
      <c r="K20" s="142">
        <f>I20+(I20*0.05)</f>
        <v>21000</v>
      </c>
      <c r="L20" s="142">
        <f>K20+(K20*0.05)</f>
        <v>22050</v>
      </c>
    </row>
    <row r="21" spans="1:14" customFormat="1" ht="15.6" x14ac:dyDescent="0.3">
      <c r="A21" s="516"/>
      <c r="B21" s="138" t="s">
        <v>257</v>
      </c>
      <c r="C21" s="139"/>
      <c r="D21" s="139"/>
      <c r="E21" s="400"/>
      <c r="F21" s="143">
        <v>27500</v>
      </c>
      <c r="G21" s="143">
        <v>28000</v>
      </c>
      <c r="H21" s="143">
        <v>28500</v>
      </c>
      <c r="I21" s="143">
        <v>30000</v>
      </c>
      <c r="J21" s="143"/>
      <c r="K21" s="143">
        <v>29000</v>
      </c>
      <c r="L21" s="143">
        <v>29000</v>
      </c>
    </row>
    <row r="22" spans="1:14" customFormat="1" ht="15.6" x14ac:dyDescent="0.3">
      <c r="A22" s="516"/>
      <c r="B22" s="138" t="s">
        <v>313</v>
      </c>
      <c r="C22" s="139"/>
      <c r="D22" s="139"/>
      <c r="E22" s="400"/>
      <c r="F22" s="143">
        <v>62400</v>
      </c>
      <c r="G22" s="143">
        <v>62400</v>
      </c>
      <c r="H22" s="143">
        <v>62400</v>
      </c>
      <c r="I22" s="143">
        <v>62400</v>
      </c>
      <c r="J22" s="143"/>
      <c r="K22" s="143">
        <v>62400</v>
      </c>
      <c r="L22" s="143">
        <v>62400</v>
      </c>
    </row>
    <row r="23" spans="1:14" customFormat="1" ht="15.6" x14ac:dyDescent="0.3">
      <c r="A23" s="516"/>
      <c r="B23" s="138" t="s">
        <v>507</v>
      </c>
      <c r="C23" s="139"/>
      <c r="D23" s="139"/>
      <c r="E23" s="400"/>
      <c r="F23" s="143">
        <v>4500</v>
      </c>
      <c r="G23" s="143">
        <v>4500</v>
      </c>
      <c r="H23" s="143">
        <v>4600</v>
      </c>
      <c r="I23" s="143">
        <v>4200</v>
      </c>
      <c r="J23" s="143"/>
      <c r="K23" s="143">
        <v>4200</v>
      </c>
      <c r="L23" s="143">
        <v>5000</v>
      </c>
    </row>
    <row r="24" spans="1:14" customFormat="1" ht="15.6" x14ac:dyDescent="0.3">
      <c r="A24" s="516"/>
      <c r="B24" s="138" t="s">
        <v>452</v>
      </c>
      <c r="C24" s="139"/>
      <c r="D24" s="139"/>
      <c r="E24" s="400"/>
      <c r="F24" s="143">
        <v>0</v>
      </c>
      <c r="G24" s="143">
        <v>0</v>
      </c>
      <c r="H24" s="143">
        <v>15500</v>
      </c>
      <c r="I24" s="143">
        <v>15500</v>
      </c>
      <c r="J24" s="143"/>
      <c r="K24" s="143">
        <v>15500</v>
      </c>
      <c r="L24" s="143">
        <v>15500</v>
      </c>
    </row>
    <row r="25" spans="1:14" ht="15.6" x14ac:dyDescent="0.3">
      <c r="A25" s="514"/>
      <c r="B25" s="527" t="s">
        <v>165</v>
      </c>
      <c r="C25" s="528"/>
      <c r="D25" s="528"/>
      <c r="E25" s="528"/>
      <c r="F25" s="142"/>
      <c r="G25" s="142"/>
      <c r="H25" s="142"/>
      <c r="I25" s="142"/>
      <c r="J25" s="142"/>
      <c r="K25" s="142"/>
      <c r="L25" s="142"/>
    </row>
    <row r="26" spans="1:14" ht="15.6" x14ac:dyDescent="0.3">
      <c r="A26" s="514"/>
      <c r="B26" s="527" t="s">
        <v>193</v>
      </c>
      <c r="C26" s="139"/>
      <c r="D26" s="139"/>
      <c r="E26" s="139"/>
      <c r="F26" s="142">
        <v>55000</v>
      </c>
      <c r="G26" s="142">
        <v>57000</v>
      </c>
      <c r="H26" s="142">
        <v>58000</v>
      </c>
      <c r="I26" s="142">
        <v>59000</v>
      </c>
      <c r="J26" s="142"/>
      <c r="K26" s="142">
        <v>60000</v>
      </c>
      <c r="L26" s="142">
        <v>62000</v>
      </c>
    </row>
    <row r="27" spans="1:14" ht="15.6" x14ac:dyDescent="0.3">
      <c r="A27" s="514"/>
      <c r="B27" s="527" t="s">
        <v>194</v>
      </c>
      <c r="C27" s="139"/>
      <c r="D27" s="139"/>
      <c r="E27" s="139"/>
      <c r="F27" s="142">
        <v>25000</v>
      </c>
      <c r="G27" s="142">
        <v>25000</v>
      </c>
      <c r="H27" s="142">
        <v>25000</v>
      </c>
      <c r="I27" s="142">
        <v>25000</v>
      </c>
      <c r="J27" s="142"/>
      <c r="K27" s="142">
        <v>25000</v>
      </c>
      <c r="L27" s="142">
        <v>25000</v>
      </c>
    </row>
    <row r="28" spans="1:14" ht="15.6" x14ac:dyDescent="0.3">
      <c r="A28" s="514"/>
      <c r="B28" s="527" t="s">
        <v>505</v>
      </c>
      <c r="C28" s="528"/>
      <c r="D28" s="528"/>
      <c r="E28" s="528"/>
      <c r="F28" s="142">
        <f>SUM(F26:F27)</f>
        <v>80000</v>
      </c>
      <c r="G28" s="142">
        <f t="shared" ref="G28:I28" si="0">SUM(G26:G27)</f>
        <v>82000</v>
      </c>
      <c r="H28" s="142">
        <f t="shared" si="0"/>
        <v>83000</v>
      </c>
      <c r="I28" s="142">
        <f t="shared" si="0"/>
        <v>84000</v>
      </c>
      <c r="J28" s="142"/>
      <c r="K28" s="142">
        <f t="shared" ref="K28:L28" si="1">SUM(K26:K27)</f>
        <v>85000</v>
      </c>
      <c r="L28" s="142">
        <f t="shared" si="1"/>
        <v>87000</v>
      </c>
    </row>
    <row r="29" spans="1:14" ht="15.6" x14ac:dyDescent="0.3">
      <c r="A29" s="514"/>
      <c r="B29" s="138" t="s">
        <v>178</v>
      </c>
      <c r="C29" s="139"/>
      <c r="D29" s="139"/>
      <c r="E29" s="139"/>
      <c r="F29" s="142">
        <v>168590</v>
      </c>
      <c r="G29" s="142">
        <v>162850</v>
      </c>
      <c r="H29" s="142">
        <v>172540</v>
      </c>
      <c r="I29" s="142">
        <v>176850</v>
      </c>
      <c r="J29" s="142"/>
      <c r="K29" s="142">
        <v>180000</v>
      </c>
      <c r="L29" s="142">
        <v>182500</v>
      </c>
    </row>
    <row r="30" spans="1:14" ht="15.6" x14ac:dyDescent="0.3">
      <c r="A30" s="514"/>
      <c r="B30" s="138" t="s">
        <v>509</v>
      </c>
      <c r="C30" s="139"/>
      <c r="D30" s="139"/>
      <c r="E30" s="139"/>
      <c r="F30" s="142">
        <v>12000</v>
      </c>
      <c r="G30" s="142">
        <v>12000</v>
      </c>
      <c r="H30" s="142">
        <v>13700</v>
      </c>
      <c r="I30" s="142">
        <v>13700</v>
      </c>
      <c r="J30" s="142"/>
      <c r="K30" s="142">
        <v>13700</v>
      </c>
      <c r="L30" s="142">
        <v>15000</v>
      </c>
    </row>
    <row r="31" spans="1:14" ht="16.8" customHeight="1" x14ac:dyDescent="0.3">
      <c r="A31" s="514"/>
      <c r="B31" s="527" t="s">
        <v>79</v>
      </c>
      <c r="C31" s="528"/>
      <c r="D31" s="528"/>
      <c r="E31" s="528"/>
      <c r="F31" s="142"/>
      <c r="G31" s="142"/>
      <c r="H31" s="142"/>
      <c r="I31" s="142"/>
      <c r="J31" s="142"/>
      <c r="K31" s="142"/>
      <c r="L31" s="142"/>
    </row>
    <row r="32" spans="1:14" ht="15.6" x14ac:dyDescent="0.3">
      <c r="A32" s="514"/>
      <c r="B32" s="527" t="s">
        <v>166</v>
      </c>
      <c r="C32" s="139"/>
      <c r="E32" s="264">
        <v>-0.05</v>
      </c>
      <c r="F32" s="145">
        <f t="shared" ref="F32:I35" si="2">$E32*(F$18)</f>
        <v>-50820</v>
      </c>
      <c r="G32" s="145">
        <f t="shared" si="2"/>
        <v>-52939.425000000003</v>
      </c>
      <c r="H32" s="145">
        <f t="shared" si="2"/>
        <v>-56706.65</v>
      </c>
      <c r="I32" s="145">
        <f t="shared" si="2"/>
        <v>-58331.553279999993</v>
      </c>
      <c r="J32" s="145"/>
      <c r="K32" s="145">
        <f t="shared" ref="K32:L35" si="3">$E32*(K$18)</f>
        <v>-58974.915999999997</v>
      </c>
      <c r="L32" s="145">
        <f t="shared" si="3"/>
        <v>-61333.912639999995</v>
      </c>
    </row>
    <row r="33" spans="1:16" ht="15.6" x14ac:dyDescent="0.3">
      <c r="A33" s="514"/>
      <c r="B33" s="527" t="s">
        <v>167</v>
      </c>
      <c r="C33" s="139"/>
      <c r="E33" s="264">
        <v>-0.01</v>
      </c>
      <c r="F33" s="145">
        <f t="shared" si="2"/>
        <v>-10164</v>
      </c>
      <c r="G33" s="145">
        <f t="shared" si="2"/>
        <v>-10587.885</v>
      </c>
      <c r="H33" s="145">
        <f t="shared" si="2"/>
        <v>-11341.33</v>
      </c>
      <c r="I33" s="145">
        <f t="shared" si="2"/>
        <v>-11666.310656</v>
      </c>
      <c r="J33" s="145"/>
      <c r="K33" s="145">
        <f t="shared" si="3"/>
        <v>-11794.983199999999</v>
      </c>
      <c r="L33" s="145">
        <f t="shared" si="3"/>
        <v>-12266.782528</v>
      </c>
    </row>
    <row r="34" spans="1:16" ht="15.6" x14ac:dyDescent="0.3">
      <c r="A34" s="514"/>
      <c r="B34" s="527" t="s">
        <v>168</v>
      </c>
      <c r="C34" s="139"/>
      <c r="E34" s="264">
        <f>-Enrollment!D41</f>
        <v>-0.18</v>
      </c>
      <c r="F34" s="145">
        <f t="shared" si="2"/>
        <v>-182952</v>
      </c>
      <c r="G34" s="145">
        <f t="shared" si="2"/>
        <v>-190581.93</v>
      </c>
      <c r="H34" s="145">
        <f t="shared" si="2"/>
        <v>-204143.94</v>
      </c>
      <c r="I34" s="145">
        <f t="shared" si="2"/>
        <v>-209993.59180799997</v>
      </c>
      <c r="J34" s="145"/>
      <c r="K34" s="145">
        <f t="shared" si="3"/>
        <v>-212309.69759999996</v>
      </c>
      <c r="L34" s="145">
        <f t="shared" si="3"/>
        <v>-220802.08550399999</v>
      </c>
    </row>
    <row r="35" spans="1:16" ht="15.6" x14ac:dyDescent="0.3">
      <c r="A35" s="514"/>
      <c r="B35" s="527" t="s">
        <v>169</v>
      </c>
      <c r="C35" s="139"/>
      <c r="E35" s="264">
        <v>-0.03</v>
      </c>
      <c r="F35" s="145">
        <f t="shared" si="2"/>
        <v>-30492</v>
      </c>
      <c r="G35" s="145">
        <f t="shared" si="2"/>
        <v>-31763.654999999999</v>
      </c>
      <c r="H35" s="145">
        <f t="shared" si="2"/>
        <v>-34023.99</v>
      </c>
      <c r="I35" s="145">
        <f t="shared" si="2"/>
        <v>-34998.931967999997</v>
      </c>
      <c r="J35" s="145"/>
      <c r="K35" s="145">
        <f t="shared" si="3"/>
        <v>-35384.949599999993</v>
      </c>
      <c r="L35" s="145">
        <f t="shared" si="3"/>
        <v>-36800.347583999996</v>
      </c>
      <c r="N35" s="134" t="s">
        <v>445</v>
      </c>
    </row>
    <row r="36" spans="1:16" ht="15.6" x14ac:dyDescent="0.3">
      <c r="A36" s="514"/>
      <c r="B36" s="527" t="s">
        <v>504</v>
      </c>
      <c r="C36" s="528"/>
      <c r="D36" s="529"/>
      <c r="E36" s="530"/>
      <c r="F36" s="145">
        <f>SUM(F32:F35)</f>
        <v>-274428</v>
      </c>
      <c r="G36" s="145">
        <f t="shared" ref="G36:I36" si="4">SUM(G32:G35)</f>
        <v>-285872.89500000002</v>
      </c>
      <c r="H36" s="145">
        <f t="shared" si="4"/>
        <v>-306215.90999999997</v>
      </c>
      <c r="I36" s="145">
        <f t="shared" si="4"/>
        <v>-314990.387712</v>
      </c>
      <c r="J36" s="145"/>
      <c r="K36" s="145">
        <f t="shared" ref="K36:L36" si="5">SUM(K32:K35)</f>
        <v>-318464.54639999993</v>
      </c>
      <c r="L36" s="145">
        <f t="shared" si="5"/>
        <v>-331203.12825599994</v>
      </c>
    </row>
    <row r="37" spans="1:16" ht="18" customHeight="1" thickBot="1" x14ac:dyDescent="0.35">
      <c r="A37" s="514"/>
      <c r="B37" s="138"/>
      <c r="C37" s="139"/>
      <c r="D37" s="139"/>
      <c r="E37" s="521"/>
      <c r="F37" s="144"/>
      <c r="G37" s="144">
        <v>0</v>
      </c>
      <c r="H37" s="144">
        <v>0</v>
      </c>
      <c r="I37" s="144">
        <v>0</v>
      </c>
      <c r="J37" s="144"/>
      <c r="K37" s="144">
        <v>0</v>
      </c>
      <c r="L37" s="144">
        <v>0</v>
      </c>
    </row>
    <row r="38" spans="1:16" s="256" customFormat="1" ht="19.95" customHeight="1" thickTop="1" x14ac:dyDescent="0.3">
      <c r="A38" s="517"/>
      <c r="B38" s="519" t="s">
        <v>80</v>
      </c>
      <c r="C38" s="518"/>
      <c r="D38" s="518"/>
      <c r="E38" s="522"/>
      <c r="F38" s="255">
        <f>SUM(F18:F24)+SUM(F28:F30)+F36</f>
        <v>1181901.74</v>
      </c>
      <c r="G38" s="255">
        <f t="shared" ref="G38:L38" si="6">SUM(G18:G24)+SUM(G28:G30)+G36</f>
        <v>1209605.345</v>
      </c>
      <c r="H38" s="255">
        <f t="shared" si="6"/>
        <v>1293096.83</v>
      </c>
      <c r="I38" s="255">
        <f t="shared" si="6"/>
        <v>1325290.6778879999</v>
      </c>
      <c r="J38" s="255">
        <f t="shared" si="6"/>
        <v>0</v>
      </c>
      <c r="K38" s="255">
        <f t="shared" si="6"/>
        <v>1338833.7736</v>
      </c>
      <c r="L38" s="255">
        <f t="shared" si="6"/>
        <v>1380925.124544</v>
      </c>
      <c r="N38" s="134"/>
      <c r="P38" s="134"/>
    </row>
    <row r="39" spans="1:16" ht="16.2" customHeight="1" thickBot="1" x14ac:dyDescent="0.35">
      <c r="B39" s="149"/>
      <c r="C39" s="149"/>
      <c r="D39" s="149"/>
      <c r="E39" s="149"/>
      <c r="F39" s="150"/>
      <c r="G39" s="150"/>
      <c r="H39" s="150"/>
      <c r="I39" s="150"/>
      <c r="J39" s="150"/>
      <c r="K39" s="150"/>
      <c r="L39" s="150"/>
    </row>
    <row r="40" spans="1:16" ht="16.2" customHeight="1" thickBot="1" x14ac:dyDescent="0.35">
      <c r="A40" s="505"/>
      <c r="B40" s="513" t="s">
        <v>384</v>
      </c>
      <c r="C40" s="512"/>
      <c r="D40" s="512"/>
      <c r="E40" s="512"/>
      <c r="F40" s="257"/>
      <c r="G40" s="257"/>
      <c r="H40" s="258"/>
      <c r="I40" s="258"/>
      <c r="J40" s="258"/>
      <c r="K40" s="258"/>
      <c r="L40" s="258"/>
    </row>
    <row r="41" spans="1:16" ht="31.95" customHeight="1" x14ac:dyDescent="0.3">
      <c r="A41" s="505"/>
      <c r="B41" s="472" t="s">
        <v>454</v>
      </c>
      <c r="C41" s="471"/>
      <c r="D41" s="471"/>
      <c r="E41" s="471"/>
      <c r="F41" s="156"/>
      <c r="G41" s="156"/>
      <c r="H41" s="157"/>
      <c r="I41" s="157"/>
      <c r="J41" s="157"/>
      <c r="K41" s="157"/>
      <c r="L41" s="157"/>
    </row>
    <row r="42" spans="1:16" ht="15.45" customHeight="1" x14ac:dyDescent="0.3">
      <c r="A42" s="505"/>
      <c r="B42" s="467" t="s">
        <v>81</v>
      </c>
      <c r="C42" s="464"/>
      <c r="D42" s="464"/>
      <c r="E42" s="464"/>
      <c r="F42" s="158">
        <f>'Personnel and Personnel Related'!G12</f>
        <v>215000</v>
      </c>
      <c r="G42" s="158">
        <f>'Personnel and Personnel Related'!J12</f>
        <v>221450</v>
      </c>
      <c r="H42" s="158">
        <f>'Personnel and Personnel Related'!M12</f>
        <v>225879</v>
      </c>
      <c r="I42" s="158">
        <f>'Personnel and Personnel Related'!P12</f>
        <v>233784.76499999996</v>
      </c>
      <c r="J42" s="158"/>
      <c r="K42" s="158">
        <f>'Personnel and Personnel Related'!S12</f>
        <v>239629.38412499995</v>
      </c>
      <c r="L42" s="158">
        <v>160023</v>
      </c>
      <c r="N42" s="260"/>
    </row>
    <row r="43" spans="1:16" ht="15.45" customHeight="1" x14ac:dyDescent="0.3">
      <c r="A43" s="505"/>
      <c r="B43" s="467" t="s">
        <v>82</v>
      </c>
      <c r="C43" s="464"/>
      <c r="D43" s="464"/>
      <c r="E43" s="464"/>
      <c r="F43" s="158">
        <f>'Personnel and Personnel Related'!G40</f>
        <v>310700</v>
      </c>
      <c r="G43" s="158">
        <f>'Personnel and Personnel Related'!J40</f>
        <v>317446</v>
      </c>
      <c r="H43" s="158">
        <f>'Personnel and Personnel Related'!M40</f>
        <v>323794.92000000004</v>
      </c>
      <c r="I43" s="158">
        <f>'Personnel and Personnel Related'!P40</f>
        <v>337519.95840000006</v>
      </c>
      <c r="J43" s="158"/>
      <c r="K43" s="158">
        <f>'Personnel and Personnel Related'!S40</f>
        <v>344286.12444749993</v>
      </c>
      <c r="L43" s="158">
        <f>'Personnel and Personnel Related'!V40</f>
        <v>352893.27755868749</v>
      </c>
    </row>
    <row r="44" spans="1:16" ht="15.45" customHeight="1" x14ac:dyDescent="0.3">
      <c r="A44" s="505"/>
      <c r="B44" s="467" t="s">
        <v>83</v>
      </c>
      <c r="C44" s="464"/>
      <c r="D44" s="464"/>
      <c r="E44" s="464"/>
      <c r="F44" s="158">
        <f>'Personnel and Personnel Related'!G17</f>
        <v>141500</v>
      </c>
      <c r="G44" s="158">
        <f>'Personnel and Personnel Related'!J17</f>
        <v>145745</v>
      </c>
      <c r="H44" s="158">
        <f>'Personnel and Personnel Related'!M17</f>
        <v>148659.9</v>
      </c>
      <c r="I44" s="158">
        <f>'Personnel and Personnel Related'!P17</f>
        <v>153862.99650000001</v>
      </c>
      <c r="J44" s="158"/>
      <c r="K44" s="158">
        <f>'Personnel and Personnel Related'!S17</f>
        <v>157709.57141249996</v>
      </c>
      <c r="L44" s="158">
        <f>'Personnel and Personnel Related'!V17</f>
        <v>161652.31069781247</v>
      </c>
    </row>
    <row r="45" spans="1:16" ht="15.45" customHeight="1" x14ac:dyDescent="0.3">
      <c r="A45" s="505"/>
      <c r="B45" s="468" t="s">
        <v>11</v>
      </c>
      <c r="C45" s="465"/>
      <c r="D45" s="465"/>
      <c r="E45" s="465"/>
      <c r="F45" s="142">
        <v>5500</v>
      </c>
      <c r="G45" s="160">
        <v>5643</v>
      </c>
      <c r="H45" s="160">
        <v>5700</v>
      </c>
      <c r="I45" s="160">
        <f>5700*2</f>
        <v>11400</v>
      </c>
      <c r="J45" s="160"/>
      <c r="K45" s="160">
        <f>5700*2</f>
        <v>11400</v>
      </c>
      <c r="L45" s="160">
        <f>5700*2</f>
        <v>11400</v>
      </c>
    </row>
    <row r="46" spans="1:16" ht="15.45" customHeight="1" x14ac:dyDescent="0.3">
      <c r="A46" s="505"/>
      <c r="B46" s="468" t="s">
        <v>24</v>
      </c>
      <c r="C46" s="465"/>
      <c r="D46" s="465"/>
      <c r="E46" s="465"/>
      <c r="F46" s="270">
        <f>SUM(F42:F44)*0.06</f>
        <v>40032</v>
      </c>
      <c r="G46" s="270">
        <f t="shared" ref="G46:L46" si="7">SUM(G42:G44)*0.06</f>
        <v>41078.46</v>
      </c>
      <c r="H46" s="270">
        <f t="shared" si="7"/>
        <v>41900.029200000004</v>
      </c>
      <c r="I46" s="270">
        <f t="shared" si="7"/>
        <v>43510.063194000002</v>
      </c>
      <c r="J46" s="270"/>
      <c r="K46" s="270">
        <f t="shared" si="7"/>
        <v>44497.504799099988</v>
      </c>
      <c r="L46" s="270">
        <f t="shared" si="7"/>
        <v>40474.115295389995</v>
      </c>
    </row>
    <row r="47" spans="1:16" ht="15.45" customHeight="1" x14ac:dyDescent="0.3">
      <c r="A47" s="505"/>
      <c r="B47" s="468" t="s">
        <v>84</v>
      </c>
      <c r="C47" s="465"/>
      <c r="D47" s="465"/>
      <c r="E47" s="465"/>
      <c r="F47" s="141">
        <f>'Personnel and Personnel Related'!G61</f>
        <v>4000</v>
      </c>
      <c r="G47" s="141">
        <v>1577</v>
      </c>
      <c r="H47" s="141">
        <v>1577</v>
      </c>
      <c r="I47" s="141">
        <v>1577</v>
      </c>
      <c r="J47" s="141"/>
      <c r="K47" s="141">
        <v>1577</v>
      </c>
      <c r="L47" s="141">
        <v>1577</v>
      </c>
    </row>
    <row r="48" spans="1:16" ht="15.45" customHeight="1" x14ac:dyDescent="0.3">
      <c r="A48" s="505"/>
      <c r="B48" s="468" t="s">
        <v>85</v>
      </c>
      <c r="C48" s="465"/>
      <c r="D48" s="465"/>
      <c r="E48" s="465"/>
      <c r="F48" s="269">
        <v>300</v>
      </c>
      <c r="G48" s="269">
        <v>300</v>
      </c>
      <c r="H48" s="269">
        <v>300</v>
      </c>
      <c r="I48" s="269">
        <f>300*2</f>
        <v>600</v>
      </c>
      <c r="J48" s="269"/>
      <c r="K48" s="269">
        <f>300*2</f>
        <v>600</v>
      </c>
      <c r="L48" s="269">
        <f>300*2</f>
        <v>600</v>
      </c>
    </row>
    <row r="49" spans="1:12" ht="15.45" customHeight="1" x14ac:dyDescent="0.3">
      <c r="A49" s="505"/>
      <c r="B49" s="468" t="s">
        <v>86</v>
      </c>
      <c r="C49" s="465"/>
      <c r="D49" s="465"/>
      <c r="E49" s="465"/>
      <c r="F49" s="269">
        <v>650</v>
      </c>
      <c r="G49" s="269">
        <v>500</v>
      </c>
      <c r="H49" s="269">
        <v>500</v>
      </c>
      <c r="I49" s="269">
        <f t="shared" ref="I49:L50" si="8">500*2</f>
        <v>1000</v>
      </c>
      <c r="J49" s="269"/>
      <c r="K49" s="269">
        <f t="shared" si="8"/>
        <v>1000</v>
      </c>
      <c r="L49" s="269">
        <f t="shared" si="8"/>
        <v>1000</v>
      </c>
    </row>
    <row r="50" spans="1:12" ht="15.45" customHeight="1" x14ac:dyDescent="0.3">
      <c r="A50" s="505"/>
      <c r="B50" s="468" t="s">
        <v>87</v>
      </c>
      <c r="C50" s="465"/>
      <c r="D50" s="465"/>
      <c r="E50" s="465"/>
      <c r="F50" s="269">
        <v>1200</v>
      </c>
      <c r="G50" s="269">
        <v>228</v>
      </c>
      <c r="H50" s="269">
        <v>500</v>
      </c>
      <c r="I50" s="269">
        <f t="shared" si="8"/>
        <v>1000</v>
      </c>
      <c r="J50" s="269"/>
      <c r="K50" s="269">
        <f t="shared" si="8"/>
        <v>1000</v>
      </c>
      <c r="L50" s="269">
        <f t="shared" si="8"/>
        <v>1000</v>
      </c>
    </row>
    <row r="51" spans="1:12" ht="15.45" customHeight="1" x14ac:dyDescent="0.3">
      <c r="A51" s="505"/>
      <c r="B51" s="469" t="s">
        <v>88</v>
      </c>
      <c r="C51" s="162"/>
      <c r="D51" s="162"/>
      <c r="E51" s="162"/>
      <c r="F51" s="163"/>
      <c r="G51" s="163"/>
      <c r="H51" s="163"/>
      <c r="I51" s="163"/>
      <c r="J51" s="163"/>
      <c r="K51" s="163"/>
      <c r="L51" s="163"/>
    </row>
    <row r="52" spans="1:12" s="184" customFormat="1" ht="15.6" x14ac:dyDescent="0.3">
      <c r="A52" s="503"/>
      <c r="B52" s="470" t="s">
        <v>89</v>
      </c>
      <c r="C52" s="466"/>
      <c r="D52" s="466"/>
      <c r="E52" s="466"/>
      <c r="F52" s="183">
        <f t="shared" ref="F52:L52" si="9">SUM(F42:F51)</f>
        <v>718882</v>
      </c>
      <c r="G52" s="183">
        <f t="shared" si="9"/>
        <v>733967.46</v>
      </c>
      <c r="H52" s="183">
        <f t="shared" si="9"/>
        <v>748810.84920000006</v>
      </c>
      <c r="I52" s="183">
        <f t="shared" si="9"/>
        <v>784254.78309400007</v>
      </c>
      <c r="J52" s="183"/>
      <c r="K52" s="183">
        <f t="shared" si="9"/>
        <v>801699.58478409983</v>
      </c>
      <c r="L52" s="183">
        <f t="shared" si="9"/>
        <v>730619.70355188998</v>
      </c>
    </row>
    <row r="53" spans="1:12" ht="15.45" customHeight="1" x14ac:dyDescent="0.3">
      <c r="A53" s="505"/>
      <c r="B53" s="164"/>
      <c r="C53" s="165"/>
      <c r="D53" s="165"/>
      <c r="E53" s="165"/>
      <c r="F53" s="166"/>
      <c r="G53" s="166"/>
      <c r="H53" s="166"/>
      <c r="I53" s="166"/>
      <c r="J53" s="166"/>
      <c r="K53" s="166"/>
      <c r="L53" s="166"/>
    </row>
    <row r="54" spans="1:12" ht="15.45" customHeight="1" x14ac:dyDescent="0.3">
      <c r="A54" s="505" t="s">
        <v>340</v>
      </c>
      <c r="B54" s="449" t="s">
        <v>339</v>
      </c>
      <c r="C54" s="450"/>
      <c r="D54" s="450"/>
      <c r="E54" s="450"/>
      <c r="F54" s="501" t="s">
        <v>472</v>
      </c>
      <c r="G54" s="166"/>
      <c r="H54" s="166"/>
      <c r="I54" s="166"/>
      <c r="J54" s="166"/>
      <c r="K54" s="166"/>
      <c r="L54" s="166"/>
    </row>
    <row r="55" spans="1:12" ht="15.45" customHeight="1" x14ac:dyDescent="0.3">
      <c r="A55" s="505" t="s">
        <v>341</v>
      </c>
      <c r="B55" s="451"/>
      <c r="C55" s="431" t="s">
        <v>337</v>
      </c>
      <c r="D55" s="432"/>
      <c r="E55" s="432"/>
      <c r="F55" s="166"/>
      <c r="G55" s="166"/>
      <c r="H55" s="166"/>
      <c r="I55" s="166"/>
      <c r="J55" s="166"/>
      <c r="K55" s="166"/>
      <c r="L55" s="166"/>
    </row>
    <row r="56" spans="1:12" ht="15.45" customHeight="1" x14ac:dyDescent="0.3">
      <c r="A56" s="506" t="s">
        <v>352</v>
      </c>
      <c r="B56" s="452"/>
      <c r="C56" s="433" t="s">
        <v>91</v>
      </c>
      <c r="D56" s="168"/>
      <c r="E56" s="168"/>
      <c r="F56" s="166">
        <f>'Program Expenses'!D11</f>
        <v>1750</v>
      </c>
      <c r="G56" s="166">
        <f>'Program Expenses'!E11</f>
        <v>1750</v>
      </c>
      <c r="H56" s="166">
        <f>'Program Expenses'!F11</f>
        <v>1750</v>
      </c>
      <c r="I56" s="166">
        <f>'Program Expenses'!G11</f>
        <v>1750</v>
      </c>
      <c r="J56" s="166"/>
      <c r="K56" s="166">
        <f>'Program Expenses'!I11</f>
        <v>1750</v>
      </c>
      <c r="L56" s="166">
        <f>'Program Expenses'!J11</f>
        <v>1750</v>
      </c>
    </row>
    <row r="57" spans="1:12" ht="15.45" customHeight="1" x14ac:dyDescent="0.3">
      <c r="A57" s="506" t="s">
        <v>350</v>
      </c>
      <c r="B57" s="452"/>
      <c r="C57" s="433" t="s">
        <v>92</v>
      </c>
      <c r="D57" s="168"/>
      <c r="E57" s="168"/>
      <c r="F57" s="166">
        <f>'Program Expenses'!D22</f>
        <v>3500</v>
      </c>
      <c r="G57" s="166">
        <f>'Program Expenses'!E22</f>
        <v>3500</v>
      </c>
      <c r="H57" s="166">
        <f>'Program Expenses'!F22</f>
        <v>3500</v>
      </c>
      <c r="I57" s="166">
        <f>'Program Expenses'!G22</f>
        <v>3500</v>
      </c>
      <c r="J57" s="166"/>
      <c r="K57" s="166">
        <f>'Program Expenses'!I22</f>
        <v>3500</v>
      </c>
      <c r="L57" s="166">
        <f>'Program Expenses'!J22</f>
        <v>3500</v>
      </c>
    </row>
    <row r="58" spans="1:12" ht="15.45" customHeight="1" x14ac:dyDescent="0.3">
      <c r="A58" s="506" t="s">
        <v>351</v>
      </c>
      <c r="B58" s="452"/>
      <c r="C58" s="433" t="s">
        <v>93</v>
      </c>
      <c r="D58" s="168"/>
      <c r="E58" s="168"/>
      <c r="F58" s="166">
        <f>'Program Expenses'!D28</f>
        <v>2150</v>
      </c>
      <c r="G58" s="166">
        <f>'Program Expenses'!E28</f>
        <v>2150</v>
      </c>
      <c r="H58" s="166">
        <f>'Program Expenses'!F28</f>
        <v>2150</v>
      </c>
      <c r="I58" s="166">
        <f>'Program Expenses'!G28</f>
        <v>2150</v>
      </c>
      <c r="J58" s="166"/>
      <c r="K58" s="166">
        <f>'Program Expenses'!I28</f>
        <v>2150</v>
      </c>
      <c r="L58" s="166">
        <f>'Program Expenses'!J28</f>
        <v>2150</v>
      </c>
    </row>
    <row r="59" spans="1:12" ht="15.45" customHeight="1" x14ac:dyDescent="0.3">
      <c r="A59" s="506" t="s">
        <v>356</v>
      </c>
      <c r="B59" s="453"/>
      <c r="C59" s="435" t="s">
        <v>94</v>
      </c>
      <c r="D59" s="170"/>
      <c r="E59" s="170"/>
      <c r="F59" s="166">
        <f>'Program Expenses'!D29</f>
        <v>2250</v>
      </c>
      <c r="G59" s="166">
        <v>2250</v>
      </c>
      <c r="H59" s="166">
        <v>2250</v>
      </c>
      <c r="I59" s="166">
        <v>2250</v>
      </c>
      <c r="J59" s="166"/>
      <c r="K59" s="166">
        <v>2250</v>
      </c>
      <c r="L59" s="166">
        <v>2250</v>
      </c>
    </row>
    <row r="60" spans="1:12" ht="15.45" customHeight="1" x14ac:dyDescent="0.3">
      <c r="A60" s="506" t="s">
        <v>355</v>
      </c>
      <c r="B60" s="452"/>
      <c r="C60" s="433" t="s">
        <v>95</v>
      </c>
      <c r="D60" s="168"/>
      <c r="E60" s="168"/>
      <c r="F60" s="166">
        <f>'Program Expenses'!D30</f>
        <v>750</v>
      </c>
      <c r="G60" s="166">
        <v>750</v>
      </c>
      <c r="H60" s="166">
        <v>750</v>
      </c>
      <c r="I60" s="166">
        <v>750</v>
      </c>
      <c r="J60" s="166"/>
      <c r="K60" s="166">
        <v>750</v>
      </c>
      <c r="L60" s="166">
        <v>750</v>
      </c>
    </row>
    <row r="61" spans="1:12" ht="15.45" customHeight="1" x14ac:dyDescent="0.3">
      <c r="A61" s="506" t="s">
        <v>357</v>
      </c>
      <c r="B61" s="452"/>
      <c r="C61" s="433" t="s">
        <v>96</v>
      </c>
      <c r="D61" s="168"/>
      <c r="E61" s="168"/>
      <c r="F61" s="166">
        <f>'Program Expenses'!D31</f>
        <v>500</v>
      </c>
      <c r="G61" s="166">
        <v>500</v>
      </c>
      <c r="H61" s="166">
        <v>500</v>
      </c>
      <c r="I61" s="166">
        <v>500</v>
      </c>
      <c r="J61" s="166"/>
      <c r="K61" s="166">
        <v>500</v>
      </c>
      <c r="L61" s="166">
        <v>500</v>
      </c>
    </row>
    <row r="62" spans="1:12" ht="15.45" customHeight="1" x14ac:dyDescent="0.3">
      <c r="A62" s="506" t="s">
        <v>358</v>
      </c>
      <c r="B62" s="452"/>
      <c r="C62" s="433" t="s">
        <v>98</v>
      </c>
      <c r="D62" s="168"/>
      <c r="E62" s="168"/>
      <c r="F62" s="166">
        <f>'Program Expenses'!D32</f>
        <v>6500</v>
      </c>
      <c r="G62" s="166">
        <v>6500</v>
      </c>
      <c r="H62" s="166">
        <v>6500</v>
      </c>
      <c r="I62" s="166">
        <v>6500</v>
      </c>
      <c r="J62" s="166"/>
      <c r="K62" s="166">
        <v>6500</v>
      </c>
      <c r="L62" s="166">
        <v>6500</v>
      </c>
    </row>
    <row r="63" spans="1:12" ht="15.45" customHeight="1" x14ac:dyDescent="0.3">
      <c r="A63" s="506" t="s">
        <v>354</v>
      </c>
      <c r="B63" s="452"/>
      <c r="C63" s="433" t="s">
        <v>407</v>
      </c>
      <c r="D63" s="168"/>
      <c r="E63" s="168"/>
      <c r="F63" s="166">
        <f>'Program Expenses'!D33</f>
        <v>1200</v>
      </c>
      <c r="G63" s="166">
        <f>'Program Expenses'!E33</f>
        <v>1250</v>
      </c>
      <c r="H63" s="166">
        <f>'Program Expenses'!F33</f>
        <v>1275</v>
      </c>
      <c r="I63" s="166">
        <f>'Program Expenses'!G33</f>
        <v>1300</v>
      </c>
      <c r="J63" s="166"/>
      <c r="K63" s="166">
        <f>'Program Expenses'!I33</f>
        <v>1325</v>
      </c>
      <c r="L63" s="166">
        <f>'Program Expenses'!J33</f>
        <v>1350</v>
      </c>
    </row>
    <row r="64" spans="1:12" ht="15.45" customHeight="1" x14ac:dyDescent="0.3">
      <c r="A64" s="506" t="s">
        <v>359</v>
      </c>
      <c r="B64" s="452"/>
      <c r="C64" s="433" t="s">
        <v>99</v>
      </c>
      <c r="D64" s="168"/>
      <c r="E64" s="168"/>
      <c r="F64" s="166">
        <f>'Program Expenses'!D34</f>
        <v>250</v>
      </c>
      <c r="G64" s="166">
        <f>'Program Expenses'!E34</f>
        <v>250</v>
      </c>
      <c r="H64" s="166">
        <f>'Program Expenses'!F34</f>
        <v>250</v>
      </c>
      <c r="I64" s="166">
        <f>'Program Expenses'!G34</f>
        <v>250</v>
      </c>
      <c r="J64" s="166"/>
      <c r="K64" s="166">
        <f>'Program Expenses'!I34</f>
        <v>250</v>
      </c>
      <c r="L64" s="166">
        <f>'Program Expenses'!J34</f>
        <v>250</v>
      </c>
    </row>
    <row r="65" spans="1:12" ht="15.45" customHeight="1" x14ac:dyDescent="0.3">
      <c r="A65" s="506" t="s">
        <v>378</v>
      </c>
      <c r="B65" s="452"/>
      <c r="C65" s="433" t="s">
        <v>100</v>
      </c>
      <c r="D65" s="168"/>
      <c r="E65" s="168"/>
      <c r="F65" s="166">
        <f>'Program Expenses'!D35</f>
        <v>500</v>
      </c>
      <c r="G65" s="166">
        <f>'Program Expenses'!E35</f>
        <v>500</v>
      </c>
      <c r="H65" s="166">
        <f>'Program Expenses'!F35</f>
        <v>500</v>
      </c>
      <c r="I65" s="166">
        <f>'Program Expenses'!G35</f>
        <v>500</v>
      </c>
      <c r="J65" s="166"/>
      <c r="K65" s="166">
        <f>'Program Expenses'!I35</f>
        <v>500</v>
      </c>
      <c r="L65" s="166">
        <f>'Program Expenses'!J35</f>
        <v>500</v>
      </c>
    </row>
    <row r="66" spans="1:12" ht="15.45" customHeight="1" x14ac:dyDescent="0.3">
      <c r="A66" s="506"/>
      <c r="B66" s="454"/>
      <c r="C66" s="436"/>
      <c r="D66" s="172"/>
      <c r="E66" s="172"/>
      <c r="F66" s="173"/>
      <c r="G66" s="173"/>
      <c r="H66" s="173"/>
      <c r="I66" s="173"/>
      <c r="J66" s="173"/>
      <c r="K66" s="173"/>
      <c r="L66" s="173"/>
    </row>
    <row r="67" spans="1:12" s="184" customFormat="1" ht="15.6" x14ac:dyDescent="0.3">
      <c r="A67" s="505" t="s">
        <v>341</v>
      </c>
      <c r="B67" s="455"/>
      <c r="C67" s="437" t="s">
        <v>338</v>
      </c>
      <c r="D67" s="438"/>
      <c r="E67" s="438"/>
      <c r="F67" s="183">
        <f>SUM(F56:F65)</f>
        <v>19350</v>
      </c>
      <c r="G67" s="183">
        <f>SUM(G56:G65)</f>
        <v>19400</v>
      </c>
      <c r="H67" s="183">
        <f>SUM(H56:H65)</f>
        <v>19425</v>
      </c>
      <c r="I67" s="183">
        <f>SUM(I56:I65)</f>
        <v>19450</v>
      </c>
      <c r="J67" s="183"/>
      <c r="K67" s="183">
        <f>SUM(K56:K65)</f>
        <v>19475</v>
      </c>
      <c r="L67" s="183">
        <f>SUM(L56:L65)</f>
        <v>19500</v>
      </c>
    </row>
    <row r="68" spans="1:12" ht="15.45" customHeight="1" x14ac:dyDescent="0.3">
      <c r="A68" s="505"/>
      <c r="B68" s="451"/>
      <c r="C68" s="155"/>
      <c r="D68" s="155"/>
      <c r="E68" s="155"/>
      <c r="F68" s="174"/>
      <c r="G68" s="174"/>
      <c r="H68" s="174"/>
      <c r="I68" s="174"/>
      <c r="J68" s="174"/>
      <c r="K68" s="174"/>
      <c r="L68" s="174"/>
    </row>
    <row r="69" spans="1:12" ht="15.45" customHeight="1" x14ac:dyDescent="0.3">
      <c r="A69" s="505" t="s">
        <v>342</v>
      </c>
      <c r="B69" s="451"/>
      <c r="C69" s="431" t="s">
        <v>334</v>
      </c>
      <c r="D69" s="432"/>
      <c r="E69" s="432"/>
      <c r="F69" s="174"/>
      <c r="G69" s="174"/>
      <c r="H69" s="174"/>
      <c r="I69" s="174"/>
      <c r="J69" s="174"/>
      <c r="K69" s="174"/>
      <c r="L69" s="174"/>
    </row>
    <row r="70" spans="1:12" ht="15.45" customHeight="1" x14ac:dyDescent="0.3">
      <c r="A70" s="505"/>
      <c r="B70" s="451"/>
      <c r="C70" s="448" t="s">
        <v>460</v>
      </c>
      <c r="D70" s="155"/>
      <c r="E70" s="155"/>
      <c r="F70" s="174">
        <v>5200</v>
      </c>
      <c r="G70" s="174">
        <v>5300</v>
      </c>
      <c r="H70" s="174">
        <v>5400</v>
      </c>
      <c r="I70" s="174">
        <v>5400</v>
      </c>
      <c r="J70" s="174"/>
      <c r="K70" s="174">
        <v>5500</v>
      </c>
      <c r="L70" s="174">
        <v>5500</v>
      </c>
    </row>
    <row r="71" spans="1:12" ht="15.45" customHeight="1" x14ac:dyDescent="0.3">
      <c r="A71" s="505"/>
      <c r="B71" s="451"/>
      <c r="C71" s="431" t="s">
        <v>459</v>
      </c>
      <c r="D71" s="432"/>
      <c r="E71" s="432"/>
      <c r="F71" s="183">
        <f>SUM(F70)</f>
        <v>5200</v>
      </c>
      <c r="G71" s="183">
        <f t="shared" ref="G71:L71" si="10">SUM(G70)</f>
        <v>5300</v>
      </c>
      <c r="H71" s="183">
        <f t="shared" si="10"/>
        <v>5400</v>
      </c>
      <c r="I71" s="183">
        <f t="shared" si="10"/>
        <v>5400</v>
      </c>
      <c r="J71" s="183">
        <f t="shared" si="10"/>
        <v>0</v>
      </c>
      <c r="K71" s="183">
        <f t="shared" si="10"/>
        <v>5500</v>
      </c>
      <c r="L71" s="183">
        <f t="shared" si="10"/>
        <v>5500</v>
      </c>
    </row>
    <row r="72" spans="1:12" ht="15.45" customHeight="1" x14ac:dyDescent="0.3">
      <c r="A72" s="505"/>
      <c r="B72" s="451"/>
      <c r="C72" s="154"/>
      <c r="D72" s="155"/>
      <c r="E72" s="155"/>
      <c r="F72" s="174"/>
      <c r="G72" s="174"/>
      <c r="H72" s="174"/>
      <c r="I72" s="174"/>
      <c r="J72" s="174"/>
      <c r="K72" s="174"/>
      <c r="L72" s="174"/>
    </row>
    <row r="73" spans="1:12" ht="15.45" customHeight="1" x14ac:dyDescent="0.3">
      <c r="A73" s="505"/>
      <c r="B73" s="451"/>
      <c r="C73" s="154"/>
      <c r="D73" s="155"/>
      <c r="E73" s="155"/>
      <c r="F73" s="174"/>
      <c r="G73" s="174"/>
      <c r="H73" s="174"/>
      <c r="I73" s="174"/>
      <c r="J73" s="174"/>
      <c r="K73" s="174"/>
      <c r="L73" s="174"/>
    </row>
    <row r="74" spans="1:12" ht="15" customHeight="1" x14ac:dyDescent="0.3">
      <c r="A74" s="505" t="s">
        <v>343</v>
      </c>
      <c r="B74" s="456"/>
      <c r="C74" s="439" t="s">
        <v>25</v>
      </c>
      <c r="D74" s="440"/>
      <c r="E74" s="440"/>
      <c r="F74" s="174"/>
      <c r="G74" s="174"/>
      <c r="H74" s="174"/>
      <c r="I74" s="174"/>
      <c r="J74" s="174"/>
      <c r="K74" s="174"/>
      <c r="L74" s="174"/>
    </row>
    <row r="75" spans="1:12" ht="15" customHeight="1" x14ac:dyDescent="0.3">
      <c r="A75" s="505" t="s">
        <v>349</v>
      </c>
      <c r="B75" s="452"/>
      <c r="C75" s="433" t="s">
        <v>110</v>
      </c>
      <c r="D75" s="167"/>
      <c r="E75" s="167"/>
      <c r="F75" s="174">
        <v>4500</v>
      </c>
      <c r="G75" s="174">
        <v>4500</v>
      </c>
      <c r="H75" s="174">
        <v>4500</v>
      </c>
      <c r="I75" s="174">
        <v>4500</v>
      </c>
      <c r="J75" s="174"/>
      <c r="K75" s="174">
        <v>4500</v>
      </c>
      <c r="L75" s="174">
        <v>4500</v>
      </c>
    </row>
    <row r="76" spans="1:12" ht="15" customHeight="1" x14ac:dyDescent="0.3">
      <c r="A76" s="505" t="s">
        <v>350</v>
      </c>
      <c r="B76" s="452"/>
      <c r="C76" s="433" t="s">
        <v>258</v>
      </c>
      <c r="D76" s="167"/>
      <c r="E76" s="167"/>
      <c r="F76" s="174">
        <v>7553.77</v>
      </c>
      <c r="G76" s="174">
        <v>3955.46</v>
      </c>
      <c r="H76" s="174">
        <v>4100</v>
      </c>
      <c r="I76" s="174">
        <f>4100*2</f>
        <v>8200</v>
      </c>
      <c r="J76" s="174"/>
      <c r="K76" s="174">
        <f>4100*2</f>
        <v>8200</v>
      </c>
      <c r="L76" s="174">
        <f>4100*2</f>
        <v>8200</v>
      </c>
    </row>
    <row r="77" spans="1:12" ht="15" customHeight="1" x14ac:dyDescent="0.3">
      <c r="A77" s="505" t="s">
        <v>351</v>
      </c>
      <c r="B77" s="452"/>
      <c r="C77" s="433" t="s">
        <v>259</v>
      </c>
      <c r="D77" s="167"/>
      <c r="E77" s="167"/>
      <c r="F77" s="174">
        <v>3255</v>
      </c>
      <c r="G77" s="174">
        <v>3485</v>
      </c>
      <c r="H77" s="174">
        <v>3620</v>
      </c>
      <c r="I77" s="174">
        <v>4000</v>
      </c>
      <c r="J77" s="174"/>
      <c r="K77" s="174">
        <v>3850</v>
      </c>
      <c r="L77" s="174">
        <v>3850</v>
      </c>
    </row>
    <row r="78" spans="1:12" ht="15" customHeight="1" x14ac:dyDescent="0.3">
      <c r="A78" s="505"/>
      <c r="B78" s="457"/>
      <c r="C78" s="441"/>
      <c r="D78" s="178"/>
      <c r="E78" s="178"/>
      <c r="F78" s="174"/>
      <c r="G78" s="174"/>
      <c r="H78" s="174"/>
      <c r="I78" s="174"/>
      <c r="J78" s="174"/>
      <c r="K78" s="174"/>
      <c r="L78" s="174"/>
    </row>
    <row r="79" spans="1:12" s="184" customFormat="1" ht="15.6" x14ac:dyDescent="0.3">
      <c r="A79" s="505" t="s">
        <v>343</v>
      </c>
      <c r="B79" s="455"/>
      <c r="C79" s="437" t="s">
        <v>112</v>
      </c>
      <c r="D79" s="438"/>
      <c r="E79" s="438"/>
      <c r="F79" s="183">
        <f t="shared" ref="F79:L79" si="11">SUM(F75:F77)</f>
        <v>15308.77</v>
      </c>
      <c r="G79" s="183">
        <f t="shared" si="11"/>
        <v>11940.46</v>
      </c>
      <c r="H79" s="183">
        <f t="shared" si="11"/>
        <v>12220</v>
      </c>
      <c r="I79" s="183">
        <f t="shared" si="11"/>
        <v>16700</v>
      </c>
      <c r="J79" s="183"/>
      <c r="K79" s="183">
        <f t="shared" si="11"/>
        <v>16550</v>
      </c>
      <c r="L79" s="183">
        <f t="shared" si="11"/>
        <v>16550</v>
      </c>
    </row>
    <row r="80" spans="1:12" ht="15.45" customHeight="1" x14ac:dyDescent="0.3">
      <c r="A80" s="505"/>
      <c r="B80" s="451"/>
      <c r="C80" s="155"/>
      <c r="D80" s="155"/>
      <c r="E80" s="155"/>
      <c r="F80" s="174"/>
      <c r="G80" s="174"/>
      <c r="H80" s="174"/>
      <c r="I80" s="174"/>
      <c r="J80" s="174"/>
      <c r="K80" s="174"/>
      <c r="L80" s="174"/>
    </row>
    <row r="81" spans="1:12" ht="15" customHeight="1" x14ac:dyDescent="0.3">
      <c r="A81" s="505" t="s">
        <v>344</v>
      </c>
      <c r="B81" s="458"/>
      <c r="C81" s="442" t="s">
        <v>333</v>
      </c>
      <c r="D81" s="443"/>
      <c r="E81" s="443"/>
      <c r="F81" s="174"/>
      <c r="G81" s="174"/>
      <c r="H81" s="174"/>
      <c r="I81" s="174"/>
      <c r="J81" s="174"/>
      <c r="K81" s="174"/>
      <c r="L81" s="174"/>
    </row>
    <row r="82" spans="1:12" ht="15" customHeight="1" x14ac:dyDescent="0.3">
      <c r="A82" s="505" t="s">
        <v>349</v>
      </c>
      <c r="B82" s="459"/>
      <c r="C82" s="444" t="s">
        <v>186</v>
      </c>
      <c r="D82" s="180"/>
      <c r="E82" s="180"/>
      <c r="F82" s="174">
        <v>7800</v>
      </c>
      <c r="G82" s="174">
        <v>7800</v>
      </c>
      <c r="H82" s="174">
        <v>7800</v>
      </c>
      <c r="I82" s="174">
        <v>8000</v>
      </c>
      <c r="J82" s="174"/>
      <c r="K82" s="174">
        <v>8000</v>
      </c>
      <c r="L82" s="174">
        <v>8000</v>
      </c>
    </row>
    <row r="83" spans="1:12" ht="15" customHeight="1" x14ac:dyDescent="0.3">
      <c r="A83" s="505" t="s">
        <v>350</v>
      </c>
      <c r="B83" s="459"/>
      <c r="C83" s="444" t="s">
        <v>187</v>
      </c>
      <c r="D83" s="180"/>
      <c r="E83" s="180"/>
      <c r="F83" s="174">
        <v>15000</v>
      </c>
      <c r="G83" s="174">
        <v>15500</v>
      </c>
      <c r="H83" s="174">
        <v>16000</v>
      </c>
      <c r="I83" s="174">
        <v>16250</v>
      </c>
      <c r="J83" s="174"/>
      <c r="K83" s="174">
        <v>16250</v>
      </c>
      <c r="L83" s="174">
        <v>16500</v>
      </c>
    </row>
    <row r="84" spans="1:12" ht="15" customHeight="1" x14ac:dyDescent="0.3">
      <c r="A84" s="505" t="s">
        <v>351</v>
      </c>
      <c r="B84" s="459"/>
      <c r="C84" s="444" t="s">
        <v>188</v>
      </c>
      <c r="D84" s="180"/>
      <c r="E84" s="180"/>
      <c r="F84" s="174">
        <v>450</v>
      </c>
      <c r="G84" s="174">
        <v>450</v>
      </c>
      <c r="H84" s="174">
        <v>450</v>
      </c>
      <c r="I84" s="174">
        <v>500</v>
      </c>
      <c r="J84" s="174"/>
      <c r="K84" s="174">
        <v>500</v>
      </c>
      <c r="L84" s="174">
        <v>500</v>
      </c>
    </row>
    <row r="85" spans="1:12" ht="15" customHeight="1" x14ac:dyDescent="0.3">
      <c r="A85" s="505" t="s">
        <v>344</v>
      </c>
      <c r="B85" s="460"/>
      <c r="C85" s="445" t="s">
        <v>360</v>
      </c>
      <c r="D85" s="443"/>
      <c r="E85" s="443"/>
      <c r="F85" s="183">
        <f>SUM(F82:F84)</f>
        <v>23250</v>
      </c>
      <c r="G85" s="183">
        <f t="shared" ref="G85:I85" si="12">SUM(G82:G84)</f>
        <v>23750</v>
      </c>
      <c r="H85" s="183">
        <f t="shared" si="12"/>
        <v>24250</v>
      </c>
      <c r="I85" s="183">
        <f t="shared" si="12"/>
        <v>24750</v>
      </c>
      <c r="J85" s="183"/>
      <c r="K85" s="183">
        <f t="shared" ref="K85:L85" si="13">SUM(K82:K84)</f>
        <v>24750</v>
      </c>
      <c r="L85" s="183">
        <f t="shared" si="13"/>
        <v>25000</v>
      </c>
    </row>
    <row r="86" spans="1:12" ht="15" customHeight="1" x14ac:dyDescent="0.3">
      <c r="A86" s="505"/>
      <c r="B86" s="459"/>
      <c r="C86" s="180"/>
      <c r="D86" s="180"/>
      <c r="E86" s="180"/>
      <c r="F86" s="174"/>
      <c r="G86" s="174"/>
      <c r="H86" s="174"/>
      <c r="I86" s="174"/>
      <c r="J86" s="174"/>
      <c r="K86" s="174"/>
      <c r="L86" s="174"/>
    </row>
    <row r="87" spans="1:12" ht="15" customHeight="1" x14ac:dyDescent="0.3">
      <c r="A87" s="505" t="s">
        <v>345</v>
      </c>
      <c r="B87" s="451"/>
      <c r="C87" s="431" t="s">
        <v>137</v>
      </c>
      <c r="D87" s="432"/>
      <c r="E87" s="432"/>
      <c r="F87" s="174"/>
      <c r="G87" s="174"/>
      <c r="H87" s="174"/>
      <c r="I87" s="174"/>
      <c r="J87" s="174"/>
      <c r="K87" s="174"/>
      <c r="L87" s="174"/>
    </row>
    <row r="88" spans="1:12" ht="15" customHeight="1" x14ac:dyDescent="0.3">
      <c r="A88" s="505"/>
      <c r="B88" s="459"/>
      <c r="C88" s="444" t="s">
        <v>189</v>
      </c>
      <c r="D88" s="180"/>
      <c r="E88" s="180"/>
      <c r="F88" s="174">
        <v>6500</v>
      </c>
      <c r="G88" s="174">
        <v>6500</v>
      </c>
      <c r="H88" s="174">
        <v>6500</v>
      </c>
      <c r="I88" s="174">
        <v>6500</v>
      </c>
      <c r="J88" s="174"/>
      <c r="K88" s="174">
        <v>6500</v>
      </c>
      <c r="L88" s="174">
        <v>6500</v>
      </c>
    </row>
    <row r="89" spans="1:12" ht="15" customHeight="1" x14ac:dyDescent="0.3">
      <c r="A89" s="505"/>
      <c r="B89" s="459"/>
      <c r="C89" s="443"/>
      <c r="D89" s="180"/>
      <c r="E89" s="180"/>
      <c r="F89" s="174"/>
      <c r="G89" s="174"/>
      <c r="H89" s="174"/>
      <c r="I89" s="174"/>
      <c r="J89" s="174"/>
      <c r="K89" s="174"/>
      <c r="L89" s="174"/>
    </row>
    <row r="90" spans="1:12" ht="15" customHeight="1" x14ac:dyDescent="0.3">
      <c r="A90" s="505"/>
      <c r="B90" s="459"/>
      <c r="C90" s="443" t="s">
        <v>458</v>
      </c>
      <c r="D90" s="443"/>
      <c r="E90" s="443"/>
      <c r="F90" s="183">
        <f>SUM(F88:F89)</f>
        <v>6500</v>
      </c>
      <c r="G90" s="183">
        <f t="shared" ref="G90:L90" si="14">SUM(G88:G89)</f>
        <v>6500</v>
      </c>
      <c r="H90" s="183">
        <f t="shared" si="14"/>
        <v>6500</v>
      </c>
      <c r="I90" s="183">
        <f t="shared" si="14"/>
        <v>6500</v>
      </c>
      <c r="J90" s="183">
        <f t="shared" si="14"/>
        <v>0</v>
      </c>
      <c r="K90" s="183">
        <f t="shared" si="14"/>
        <v>6500</v>
      </c>
      <c r="L90" s="183">
        <f t="shared" si="14"/>
        <v>6500</v>
      </c>
    </row>
    <row r="91" spans="1:12" ht="15" customHeight="1" x14ac:dyDescent="0.3">
      <c r="A91" s="505"/>
      <c r="B91" s="459"/>
      <c r="C91" s="180"/>
      <c r="D91" s="180"/>
      <c r="E91" s="180"/>
      <c r="F91" s="174"/>
      <c r="G91" s="174"/>
      <c r="H91" s="174"/>
      <c r="I91" s="174"/>
      <c r="J91" s="174"/>
      <c r="K91" s="174"/>
      <c r="L91" s="174"/>
    </row>
    <row r="92" spans="1:12" ht="15.45" customHeight="1" x14ac:dyDescent="0.3">
      <c r="A92" s="505" t="s">
        <v>346</v>
      </c>
      <c r="B92" s="456"/>
      <c r="C92" s="439" t="s">
        <v>103</v>
      </c>
      <c r="D92" s="440"/>
      <c r="E92" s="440"/>
      <c r="F92" s="174"/>
      <c r="G92" s="174"/>
      <c r="H92" s="174"/>
      <c r="I92" s="174"/>
      <c r="J92" s="174"/>
      <c r="K92" s="174"/>
      <c r="L92" s="174"/>
    </row>
    <row r="93" spans="1:12" ht="15.45" customHeight="1" x14ac:dyDescent="0.3">
      <c r="A93" s="506" t="s">
        <v>349</v>
      </c>
      <c r="B93" s="461">
        <v>4.25</v>
      </c>
      <c r="C93" s="434" t="s">
        <v>383</v>
      </c>
      <c r="D93" s="168"/>
      <c r="E93" s="168"/>
      <c r="F93" s="174">
        <f>$B93*((F7*F8)+(F9*F10))</f>
        <v>31960</v>
      </c>
      <c r="G93" s="174">
        <f>$B93*((G7*G8)+(G9*G10))</f>
        <v>32342.5</v>
      </c>
      <c r="H93" s="174">
        <f>$B93*((H7*H8)+(H9*H10))</f>
        <v>32725</v>
      </c>
      <c r="I93" s="174">
        <f>$B93*((I7*I8)+(I9*I10))</f>
        <v>32410.5</v>
      </c>
      <c r="J93" s="174"/>
      <c r="K93" s="174">
        <f>$B93*((K7*K8)+(K9*K10))</f>
        <v>32725</v>
      </c>
      <c r="L93" s="174">
        <f>$B93*((L7*L8)+(L9*L10))</f>
        <v>32703.75</v>
      </c>
    </row>
    <row r="94" spans="1:12" ht="15.45" customHeight="1" x14ac:dyDescent="0.3">
      <c r="A94" s="506" t="s">
        <v>350</v>
      </c>
      <c r="B94" s="452"/>
      <c r="C94" s="433" t="s">
        <v>104</v>
      </c>
      <c r="D94" s="167"/>
      <c r="E94" s="167"/>
      <c r="F94" s="174">
        <v>0</v>
      </c>
      <c r="G94" s="174">
        <v>0</v>
      </c>
      <c r="H94" s="174">
        <v>0</v>
      </c>
      <c r="I94" s="174">
        <v>0</v>
      </c>
      <c r="J94" s="174"/>
      <c r="K94" s="174">
        <v>0</v>
      </c>
      <c r="L94" s="174">
        <v>0</v>
      </c>
    </row>
    <row r="95" spans="1:12" ht="15.45" customHeight="1" x14ac:dyDescent="0.3">
      <c r="A95" s="506" t="s">
        <v>351</v>
      </c>
      <c r="B95" s="452"/>
      <c r="C95" s="433" t="s">
        <v>105</v>
      </c>
      <c r="D95" s="167"/>
      <c r="E95" s="167"/>
      <c r="F95" s="174">
        <v>12500</v>
      </c>
      <c r="G95" s="174">
        <v>12500</v>
      </c>
      <c r="H95" s="174">
        <v>12500</v>
      </c>
      <c r="I95" s="174">
        <v>12500</v>
      </c>
      <c r="J95" s="174"/>
      <c r="K95" s="174">
        <v>12500</v>
      </c>
      <c r="L95" s="174">
        <v>12500</v>
      </c>
    </row>
    <row r="96" spans="1:12" ht="15.45" customHeight="1" x14ac:dyDescent="0.3">
      <c r="A96" s="506" t="s">
        <v>356</v>
      </c>
      <c r="B96" s="452"/>
      <c r="C96" s="433" t="s">
        <v>106</v>
      </c>
      <c r="D96" s="167"/>
      <c r="E96" s="167"/>
      <c r="F96" s="174">
        <v>0</v>
      </c>
      <c r="G96" s="174">
        <v>0</v>
      </c>
      <c r="H96" s="174">
        <v>0</v>
      </c>
      <c r="I96" s="174">
        <v>0</v>
      </c>
      <c r="J96" s="174"/>
      <c r="K96" s="174">
        <v>0</v>
      </c>
      <c r="L96" s="174">
        <v>0</v>
      </c>
    </row>
    <row r="97" spans="1:12" ht="15.45" customHeight="1" x14ac:dyDescent="0.3">
      <c r="A97" s="506" t="s">
        <v>355</v>
      </c>
      <c r="B97" s="452"/>
      <c r="C97" s="433" t="s">
        <v>107</v>
      </c>
      <c r="D97" s="167"/>
      <c r="E97" s="167"/>
      <c r="F97" s="174">
        <v>2500</v>
      </c>
      <c r="G97" s="174">
        <v>2500</v>
      </c>
      <c r="H97" s="174">
        <v>2500</v>
      </c>
      <c r="I97" s="174">
        <v>2500</v>
      </c>
      <c r="J97" s="174"/>
      <c r="K97" s="174">
        <v>2500</v>
      </c>
      <c r="L97" s="174">
        <v>2500</v>
      </c>
    </row>
    <row r="98" spans="1:12" ht="15.45" customHeight="1" x14ac:dyDescent="0.3">
      <c r="A98" s="505"/>
      <c r="B98" s="462"/>
      <c r="C98" s="446"/>
      <c r="D98" s="430"/>
      <c r="E98" s="430"/>
      <c r="F98" s="174"/>
      <c r="G98" s="174"/>
      <c r="H98" s="174"/>
      <c r="I98" s="174"/>
      <c r="J98" s="174"/>
      <c r="K98" s="174"/>
      <c r="L98" s="174"/>
    </row>
    <row r="99" spans="1:12" s="184" customFormat="1" ht="15.6" x14ac:dyDescent="0.3">
      <c r="A99" s="505" t="s">
        <v>346</v>
      </c>
      <c r="B99" s="455"/>
      <c r="C99" s="437" t="s">
        <v>109</v>
      </c>
      <c r="D99" s="438"/>
      <c r="E99" s="438"/>
      <c r="F99" s="183">
        <f>SUM(F93:F97)</f>
        <v>46960</v>
      </c>
      <c r="G99" s="183">
        <f>34005.83</f>
        <v>34005.83</v>
      </c>
      <c r="H99" s="183">
        <v>55000</v>
      </c>
      <c r="I99" s="183">
        <v>95000</v>
      </c>
      <c r="J99" s="183"/>
      <c r="K99" s="183">
        <v>120000</v>
      </c>
      <c r="L99" s="183">
        <v>135000</v>
      </c>
    </row>
    <row r="100" spans="1:12" ht="15" customHeight="1" x14ac:dyDescent="0.3">
      <c r="A100" s="505"/>
      <c r="B100" s="451"/>
      <c r="C100" s="155"/>
      <c r="D100" s="155"/>
      <c r="E100" s="155"/>
      <c r="F100" s="174"/>
      <c r="G100" s="174"/>
      <c r="H100" s="174"/>
      <c r="I100" s="174"/>
      <c r="J100" s="174"/>
      <c r="K100" s="174"/>
      <c r="L100" s="174"/>
    </row>
    <row r="101" spans="1:12" ht="15" customHeight="1" x14ac:dyDescent="0.3">
      <c r="A101" s="505" t="s">
        <v>347</v>
      </c>
      <c r="B101" s="451"/>
      <c r="C101" s="431" t="s">
        <v>335</v>
      </c>
      <c r="D101" s="432"/>
      <c r="E101" s="432"/>
      <c r="F101" s="174"/>
      <c r="G101" s="174"/>
      <c r="H101" s="174"/>
      <c r="I101" s="174"/>
      <c r="J101" s="174"/>
      <c r="K101" s="174"/>
      <c r="L101" s="174"/>
    </row>
    <row r="102" spans="1:12" ht="15.45" customHeight="1" x14ac:dyDescent="0.3">
      <c r="A102" s="505"/>
      <c r="B102" s="452"/>
      <c r="C102" s="433" t="s">
        <v>456</v>
      </c>
      <c r="F102" s="166">
        <v>750</v>
      </c>
      <c r="G102" s="166">
        <v>750</v>
      </c>
      <c r="H102" s="166">
        <v>750</v>
      </c>
      <c r="I102" s="166">
        <v>750</v>
      </c>
      <c r="J102" s="166"/>
      <c r="K102" s="166">
        <v>750</v>
      </c>
      <c r="L102" s="166">
        <v>750</v>
      </c>
    </row>
    <row r="103" spans="1:12" ht="15.45" customHeight="1" x14ac:dyDescent="0.3">
      <c r="A103" s="505"/>
      <c r="B103" s="452"/>
      <c r="C103" s="434"/>
      <c r="D103" s="168"/>
      <c r="E103" s="168"/>
      <c r="F103" s="447"/>
      <c r="G103" s="447"/>
      <c r="H103" s="447"/>
      <c r="I103" s="447"/>
      <c r="J103" s="447"/>
      <c r="K103" s="447"/>
      <c r="L103" s="447"/>
    </row>
    <row r="104" spans="1:12" ht="15.45" customHeight="1" x14ac:dyDescent="0.3">
      <c r="A104" s="505"/>
      <c r="B104" s="452"/>
      <c r="C104" s="434" t="s">
        <v>457</v>
      </c>
      <c r="D104" s="434"/>
      <c r="E104" s="434"/>
      <c r="F104" s="533">
        <f>SUM(F102:F103)</f>
        <v>750</v>
      </c>
      <c r="G104" s="533">
        <f t="shared" ref="G104:L104" si="15">SUM(G102:G103)</f>
        <v>750</v>
      </c>
      <c r="H104" s="533">
        <f t="shared" si="15"/>
        <v>750</v>
      </c>
      <c r="I104" s="533">
        <f t="shared" si="15"/>
        <v>750</v>
      </c>
      <c r="J104" s="533">
        <f t="shared" si="15"/>
        <v>0</v>
      </c>
      <c r="K104" s="533">
        <f t="shared" si="15"/>
        <v>750</v>
      </c>
      <c r="L104" s="533">
        <f t="shared" si="15"/>
        <v>750</v>
      </c>
    </row>
    <row r="105" spans="1:12" ht="15.45" customHeight="1" x14ac:dyDescent="0.3">
      <c r="A105" s="505"/>
      <c r="B105" s="452"/>
      <c r="C105" s="168"/>
      <c r="D105" s="168"/>
      <c r="E105" s="168"/>
      <c r="F105" s="447"/>
      <c r="G105" s="447"/>
      <c r="H105" s="447"/>
      <c r="I105" s="447"/>
      <c r="J105" s="447"/>
      <c r="K105" s="447"/>
      <c r="L105" s="447"/>
    </row>
    <row r="106" spans="1:12" ht="15.45" customHeight="1" x14ac:dyDescent="0.3">
      <c r="A106" s="505"/>
      <c r="B106" s="455" t="s">
        <v>455</v>
      </c>
      <c r="C106" s="463"/>
      <c r="D106" s="463"/>
      <c r="E106" s="463"/>
      <c r="F106" s="429">
        <f>F67+F71+F79+F85+F90+F99+F104</f>
        <v>117318.77</v>
      </c>
      <c r="G106" s="429">
        <f t="shared" ref="G106:L106" si="16">G67+G70+G79+G85+G90+G99+G104</f>
        <v>101646.29</v>
      </c>
      <c r="H106" s="429">
        <f t="shared" si="16"/>
        <v>123545</v>
      </c>
      <c r="I106" s="429">
        <f t="shared" si="16"/>
        <v>168550</v>
      </c>
      <c r="J106" s="429">
        <f t="shared" si="16"/>
        <v>0</v>
      </c>
      <c r="K106" s="429">
        <f t="shared" si="16"/>
        <v>193525</v>
      </c>
      <c r="L106" s="429">
        <f t="shared" si="16"/>
        <v>208800</v>
      </c>
    </row>
    <row r="107" spans="1:12" ht="15" customHeight="1" x14ac:dyDescent="0.3">
      <c r="A107" s="505"/>
      <c r="B107" s="154"/>
      <c r="C107" s="155"/>
      <c r="D107" s="155"/>
      <c r="E107" s="155"/>
      <c r="F107" s="174"/>
      <c r="G107" s="174"/>
      <c r="H107" s="174"/>
      <c r="I107" s="174"/>
      <c r="J107" s="174"/>
      <c r="K107" s="174"/>
      <c r="L107" s="174"/>
    </row>
    <row r="108" spans="1:12" ht="15" customHeight="1" x14ac:dyDescent="0.3">
      <c r="A108" s="505" t="s">
        <v>348</v>
      </c>
      <c r="B108" s="472" t="s">
        <v>366</v>
      </c>
      <c r="C108" s="471"/>
      <c r="D108" s="471"/>
      <c r="E108" s="523"/>
      <c r="F108" s="502" t="s">
        <v>473</v>
      </c>
      <c r="G108" s="174"/>
      <c r="H108" s="174"/>
      <c r="I108" s="174"/>
      <c r="J108" s="174"/>
      <c r="K108" s="174"/>
      <c r="L108" s="174"/>
    </row>
    <row r="109" spans="1:12" ht="15" customHeight="1" x14ac:dyDescent="0.3">
      <c r="A109" s="505"/>
      <c r="B109" s="480"/>
      <c r="C109" s="165"/>
      <c r="D109" s="165"/>
      <c r="E109" s="165"/>
      <c r="F109" s="174"/>
      <c r="G109" s="174"/>
      <c r="H109" s="174"/>
      <c r="I109" s="174"/>
      <c r="J109" s="174"/>
      <c r="K109" s="174"/>
      <c r="L109" s="174"/>
    </row>
    <row r="110" spans="1:12" ht="15" customHeight="1" x14ac:dyDescent="0.3">
      <c r="A110" s="505" t="s">
        <v>363</v>
      </c>
      <c r="B110" s="475"/>
      <c r="C110" s="481" t="s">
        <v>191</v>
      </c>
      <c r="D110" s="180"/>
      <c r="E110" s="180"/>
      <c r="F110" s="174">
        <v>27157.08</v>
      </c>
      <c r="G110" s="174">
        <v>27157.08</v>
      </c>
      <c r="H110" s="174">
        <v>27157.08</v>
      </c>
      <c r="I110" s="174">
        <v>27157.08</v>
      </c>
      <c r="J110" s="174"/>
      <c r="K110" s="174">
        <v>27157.08</v>
      </c>
      <c r="L110" s="174">
        <v>27157.08</v>
      </c>
    </row>
    <row r="111" spans="1:12" ht="15" customHeight="1" x14ac:dyDescent="0.3">
      <c r="A111" s="505" t="s">
        <v>364</v>
      </c>
      <c r="B111" s="475"/>
      <c r="C111" s="481" t="s">
        <v>158</v>
      </c>
      <c r="D111" s="180"/>
      <c r="E111" s="180"/>
      <c r="F111" s="174">
        <v>0</v>
      </c>
      <c r="G111" s="174">
        <v>0</v>
      </c>
      <c r="H111" s="174">
        <v>0</v>
      </c>
      <c r="I111" s="174">
        <v>0</v>
      </c>
      <c r="J111" s="174"/>
      <c r="K111" s="174">
        <v>0</v>
      </c>
      <c r="L111" s="174">
        <v>0</v>
      </c>
    </row>
    <row r="112" spans="1:12" ht="15" customHeight="1" x14ac:dyDescent="0.3">
      <c r="A112" s="505" t="s">
        <v>370</v>
      </c>
      <c r="B112" s="470"/>
      <c r="C112" s="437" t="s">
        <v>260</v>
      </c>
      <c r="D112" s="473"/>
      <c r="E112" s="473"/>
      <c r="F112" s="174"/>
      <c r="G112" s="174"/>
      <c r="H112" s="174"/>
      <c r="I112" s="174"/>
      <c r="J112" s="174"/>
      <c r="K112" s="174"/>
      <c r="L112" s="174"/>
    </row>
    <row r="113" spans="1:12" ht="15" customHeight="1" x14ac:dyDescent="0.3">
      <c r="A113" s="506" t="s">
        <v>349</v>
      </c>
      <c r="B113" s="476"/>
      <c r="C113" s="433" t="s">
        <v>113</v>
      </c>
      <c r="D113" s="167"/>
      <c r="E113" s="167"/>
      <c r="F113" s="174">
        <v>4245</v>
      </c>
      <c r="G113" s="174">
        <v>4259</v>
      </c>
      <c r="H113" s="174">
        <v>4340</v>
      </c>
      <c r="I113" s="174">
        <v>4500</v>
      </c>
      <c r="J113" s="174"/>
      <c r="K113" s="174">
        <v>4450</v>
      </c>
      <c r="L113" s="174">
        <v>4500</v>
      </c>
    </row>
    <row r="114" spans="1:12" ht="15" customHeight="1" x14ac:dyDescent="0.3">
      <c r="A114" s="506" t="s">
        <v>350</v>
      </c>
      <c r="B114" s="476"/>
      <c r="C114" s="433" t="s">
        <v>114</v>
      </c>
      <c r="D114" s="167"/>
      <c r="E114" s="167"/>
      <c r="F114" s="174">
        <v>4245</v>
      </c>
      <c r="G114" s="174">
        <v>4259</v>
      </c>
      <c r="H114" s="174">
        <v>4340</v>
      </c>
      <c r="I114" s="174">
        <v>4500</v>
      </c>
      <c r="J114" s="174"/>
      <c r="K114" s="174">
        <v>4450</v>
      </c>
      <c r="L114" s="174">
        <v>4500</v>
      </c>
    </row>
    <row r="115" spans="1:12" ht="15" customHeight="1" x14ac:dyDescent="0.3">
      <c r="A115" s="506" t="s">
        <v>351</v>
      </c>
      <c r="B115" s="476"/>
      <c r="C115" s="433" t="s">
        <v>115</v>
      </c>
      <c r="D115" s="167"/>
      <c r="E115" s="167"/>
      <c r="F115" s="174">
        <v>730</v>
      </c>
      <c r="G115" s="174">
        <v>720</v>
      </c>
      <c r="H115" s="174">
        <v>770</v>
      </c>
      <c r="I115" s="174">
        <v>750</v>
      </c>
      <c r="J115" s="174"/>
      <c r="K115" s="174">
        <v>750</v>
      </c>
      <c r="L115" s="174">
        <v>750</v>
      </c>
    </row>
    <row r="116" spans="1:12" ht="15" customHeight="1" x14ac:dyDescent="0.3">
      <c r="A116" s="506" t="s">
        <v>356</v>
      </c>
      <c r="B116" s="476"/>
      <c r="C116" s="433" t="s">
        <v>118</v>
      </c>
      <c r="D116" s="167"/>
      <c r="E116" s="167"/>
      <c r="F116" s="174">
        <v>1400</v>
      </c>
      <c r="G116" s="174">
        <v>1400</v>
      </c>
      <c r="H116" s="174">
        <v>1400</v>
      </c>
      <c r="I116" s="174">
        <v>1400</v>
      </c>
      <c r="J116" s="174"/>
      <c r="K116" s="174">
        <v>1400</v>
      </c>
      <c r="L116" s="174">
        <v>1400</v>
      </c>
    </row>
    <row r="117" spans="1:12" ht="15" customHeight="1" x14ac:dyDescent="0.3">
      <c r="A117" s="506" t="s">
        <v>355</v>
      </c>
      <c r="B117" s="476"/>
      <c r="C117" s="433" t="s">
        <v>119</v>
      </c>
      <c r="D117" s="167"/>
      <c r="E117" s="167"/>
      <c r="F117" s="174">
        <v>0</v>
      </c>
      <c r="G117" s="174">
        <v>0</v>
      </c>
      <c r="H117" s="174">
        <v>0</v>
      </c>
      <c r="I117" s="174">
        <v>0</v>
      </c>
      <c r="J117" s="174"/>
      <c r="K117" s="174">
        <v>0</v>
      </c>
      <c r="L117" s="174">
        <v>0</v>
      </c>
    </row>
    <row r="118" spans="1:12" ht="15" customHeight="1" x14ac:dyDescent="0.3">
      <c r="A118" s="506" t="s">
        <v>357</v>
      </c>
      <c r="B118" s="476"/>
      <c r="C118" s="433" t="s">
        <v>120</v>
      </c>
      <c r="D118" s="167"/>
      <c r="E118" s="167"/>
      <c r="F118" s="174">
        <v>0</v>
      </c>
      <c r="G118" s="174">
        <v>0</v>
      </c>
      <c r="H118" s="174">
        <v>0</v>
      </c>
      <c r="I118" s="174">
        <v>0</v>
      </c>
      <c r="J118" s="174"/>
      <c r="K118" s="174">
        <v>0</v>
      </c>
      <c r="L118" s="174">
        <v>0</v>
      </c>
    </row>
    <row r="119" spans="1:12" ht="15" customHeight="1" x14ac:dyDescent="0.3">
      <c r="A119" s="506" t="s">
        <v>358</v>
      </c>
      <c r="B119" s="476"/>
      <c r="C119" s="433" t="s">
        <v>26</v>
      </c>
      <c r="D119" s="167"/>
      <c r="E119" s="167"/>
      <c r="F119" s="174">
        <v>0</v>
      </c>
      <c r="G119" s="174">
        <v>0</v>
      </c>
      <c r="H119" s="174">
        <v>0</v>
      </c>
      <c r="I119" s="174">
        <v>8000</v>
      </c>
      <c r="J119" s="174"/>
      <c r="K119" s="174">
        <v>8000</v>
      </c>
      <c r="L119" s="174">
        <v>8000</v>
      </c>
    </row>
    <row r="120" spans="1:12" ht="15" customHeight="1" x14ac:dyDescent="0.3">
      <c r="A120" s="505"/>
      <c r="B120" s="477"/>
      <c r="C120" s="441"/>
      <c r="D120" s="178"/>
      <c r="E120" s="178"/>
      <c r="F120" s="174"/>
      <c r="G120" s="174"/>
      <c r="H120" s="174"/>
      <c r="I120" s="174"/>
      <c r="J120" s="174"/>
      <c r="K120" s="174"/>
      <c r="L120" s="174"/>
    </row>
    <row r="121" spans="1:12" s="184" customFormat="1" ht="15.6" x14ac:dyDescent="0.3">
      <c r="A121" s="507" t="s">
        <v>370</v>
      </c>
      <c r="B121" s="470"/>
      <c r="C121" s="437" t="s">
        <v>122</v>
      </c>
      <c r="D121" s="438"/>
      <c r="E121" s="438"/>
      <c r="F121" s="183">
        <f>SUM(F113:F120)</f>
        <v>10620</v>
      </c>
      <c r="G121" s="183">
        <f>32055.76+1327.76</f>
        <v>33383.519999999997</v>
      </c>
      <c r="H121" s="183">
        <v>33500</v>
      </c>
      <c r="I121" s="183">
        <v>36850</v>
      </c>
      <c r="J121" s="183"/>
      <c r="K121" s="183">
        <v>40535</v>
      </c>
      <c r="L121" s="183">
        <v>44589</v>
      </c>
    </row>
    <row r="122" spans="1:12" s="184" customFormat="1" ht="15.6" x14ac:dyDescent="0.3">
      <c r="A122" s="503"/>
      <c r="B122" s="470"/>
      <c r="C122" s="182"/>
      <c r="D122" s="182"/>
      <c r="E122" s="182"/>
      <c r="F122" s="183"/>
      <c r="G122" s="183"/>
      <c r="H122" s="183"/>
      <c r="I122" s="183"/>
      <c r="J122" s="183"/>
      <c r="K122" s="183"/>
      <c r="L122" s="183"/>
    </row>
    <row r="123" spans="1:12" ht="15" customHeight="1" x14ac:dyDescent="0.3">
      <c r="A123" s="505" t="s">
        <v>371</v>
      </c>
      <c r="B123" s="478"/>
      <c r="C123" s="439" t="s">
        <v>362</v>
      </c>
      <c r="D123" s="473"/>
      <c r="E123" s="473"/>
      <c r="F123" s="174"/>
      <c r="G123" s="174"/>
      <c r="H123" s="174"/>
      <c r="I123" s="174"/>
      <c r="J123" s="174"/>
      <c r="K123" s="174"/>
      <c r="L123" s="174"/>
    </row>
    <row r="124" spans="1:12" ht="15" customHeight="1" x14ac:dyDescent="0.3">
      <c r="A124" s="506" t="s">
        <v>349</v>
      </c>
      <c r="B124" s="476"/>
      <c r="C124" s="433" t="s">
        <v>408</v>
      </c>
      <c r="D124" s="167"/>
      <c r="E124" s="167"/>
      <c r="F124" s="174">
        <v>24862</v>
      </c>
      <c r="G124" s="174">
        <v>26447</v>
      </c>
      <c r="H124" s="174">
        <v>26755</v>
      </c>
      <c r="I124" s="174">
        <v>27500</v>
      </c>
      <c r="J124" s="174"/>
      <c r="K124" s="174">
        <v>27450</v>
      </c>
      <c r="L124" s="174">
        <v>28000</v>
      </c>
    </row>
    <row r="125" spans="1:12" ht="15" customHeight="1" x14ac:dyDescent="0.3">
      <c r="A125" s="506" t="s">
        <v>350</v>
      </c>
      <c r="B125" s="476"/>
      <c r="C125" s="433" t="s">
        <v>409</v>
      </c>
      <c r="D125" s="167"/>
      <c r="E125" s="167"/>
      <c r="F125" s="174">
        <v>14185</v>
      </c>
      <c r="G125" s="174">
        <v>14425</v>
      </c>
      <c r="H125" s="174">
        <v>14560</v>
      </c>
      <c r="I125" s="174">
        <v>15325</v>
      </c>
      <c r="J125" s="174"/>
      <c r="K125" s="174">
        <v>15325</v>
      </c>
      <c r="L125" s="174">
        <v>15500</v>
      </c>
    </row>
    <row r="126" spans="1:12" ht="15" customHeight="1" x14ac:dyDescent="0.3">
      <c r="A126" s="506" t="s">
        <v>351</v>
      </c>
      <c r="B126" s="476"/>
      <c r="C126" s="433" t="s">
        <v>410</v>
      </c>
      <c r="D126" s="167"/>
      <c r="E126" s="167"/>
      <c r="F126" s="174">
        <v>745</v>
      </c>
      <c r="G126" s="174">
        <v>745</v>
      </c>
      <c r="H126" s="174">
        <v>745</v>
      </c>
      <c r="I126" s="174">
        <v>745</v>
      </c>
      <c r="J126" s="174"/>
      <c r="K126" s="174">
        <v>745</v>
      </c>
      <c r="L126" s="174">
        <v>745</v>
      </c>
    </row>
    <row r="127" spans="1:12" ht="15" customHeight="1" x14ac:dyDescent="0.3">
      <c r="A127" s="506" t="s">
        <v>356</v>
      </c>
      <c r="B127" s="476"/>
      <c r="C127" s="433" t="s">
        <v>411</v>
      </c>
      <c r="D127" s="167"/>
      <c r="E127" s="167"/>
      <c r="F127" s="174">
        <v>1940</v>
      </c>
      <c r="G127" s="174">
        <v>1940</v>
      </c>
      <c r="H127" s="174">
        <v>1940</v>
      </c>
      <c r="I127" s="174">
        <v>1940</v>
      </c>
      <c r="J127" s="174"/>
      <c r="K127" s="174">
        <v>1940</v>
      </c>
      <c r="L127" s="174">
        <v>1940</v>
      </c>
    </row>
    <row r="128" spans="1:12" ht="15" customHeight="1" x14ac:dyDescent="0.3">
      <c r="A128" s="506" t="s">
        <v>355</v>
      </c>
      <c r="B128" s="476"/>
      <c r="C128" s="433" t="s">
        <v>412</v>
      </c>
      <c r="D128" s="167"/>
      <c r="E128" s="167"/>
      <c r="F128" s="174">
        <v>960</v>
      </c>
      <c r="G128" s="174">
        <v>960</v>
      </c>
      <c r="H128" s="174">
        <v>980</v>
      </c>
      <c r="I128" s="174">
        <v>980</v>
      </c>
      <c r="J128" s="174"/>
      <c r="K128" s="174">
        <v>980</v>
      </c>
      <c r="L128" s="174">
        <v>1000</v>
      </c>
    </row>
    <row r="129" spans="1:14" ht="15" customHeight="1" x14ac:dyDescent="0.3">
      <c r="A129" s="506" t="s">
        <v>357</v>
      </c>
      <c r="B129" s="476"/>
      <c r="C129" s="433" t="s">
        <v>413</v>
      </c>
      <c r="D129" s="167"/>
      <c r="E129" s="167"/>
      <c r="F129" s="174">
        <v>24567</v>
      </c>
      <c r="G129" s="174">
        <v>26442</v>
      </c>
      <c r="H129" s="174">
        <v>27512</v>
      </c>
      <c r="I129" s="174">
        <v>28000</v>
      </c>
      <c r="J129" s="174"/>
      <c r="K129" s="174">
        <v>28480</v>
      </c>
      <c r="L129" s="174">
        <v>28500</v>
      </c>
    </row>
    <row r="130" spans="1:14" ht="15" customHeight="1" x14ac:dyDescent="0.3">
      <c r="A130" s="505"/>
      <c r="B130" s="477"/>
      <c r="C130" s="441"/>
      <c r="D130" s="178"/>
      <c r="E130" s="178"/>
      <c r="F130" s="174"/>
      <c r="G130" s="174"/>
      <c r="H130" s="174"/>
      <c r="I130" s="174"/>
      <c r="J130" s="174"/>
      <c r="K130" s="174"/>
      <c r="L130" s="174"/>
    </row>
    <row r="131" spans="1:14" s="184" customFormat="1" ht="15.6" x14ac:dyDescent="0.3">
      <c r="A131" s="505" t="s">
        <v>371</v>
      </c>
      <c r="B131" s="470"/>
      <c r="C131" s="437" t="s">
        <v>123</v>
      </c>
      <c r="D131" s="438"/>
      <c r="E131" s="438"/>
      <c r="F131" s="183">
        <f>SUM(F124:F129)</f>
        <v>67259</v>
      </c>
      <c r="G131" s="183">
        <v>26850.74</v>
      </c>
      <c r="H131" s="183">
        <v>28000</v>
      </c>
      <c r="I131" s="183">
        <v>30800</v>
      </c>
      <c r="J131" s="183"/>
      <c r="K131" s="183">
        <v>33880</v>
      </c>
      <c r="L131" s="183">
        <v>37268</v>
      </c>
      <c r="N131" s="134" t="s">
        <v>124</v>
      </c>
    </row>
    <row r="132" spans="1:14" s="184" customFormat="1" ht="15.6" x14ac:dyDescent="0.3">
      <c r="A132" s="505"/>
      <c r="B132" s="470"/>
      <c r="C132" s="182"/>
      <c r="D132" s="182"/>
      <c r="E132" s="182"/>
      <c r="F132" s="183"/>
      <c r="G132" s="183"/>
      <c r="H132" s="183"/>
      <c r="I132" s="183"/>
      <c r="J132" s="183"/>
      <c r="K132" s="183"/>
      <c r="L132" s="183"/>
      <c r="N132" s="134"/>
    </row>
    <row r="133" spans="1:14" ht="15" customHeight="1" x14ac:dyDescent="0.3">
      <c r="A133" s="505" t="s">
        <v>372</v>
      </c>
      <c r="B133" s="479"/>
      <c r="C133" s="474" t="s">
        <v>361</v>
      </c>
      <c r="D133" s="168"/>
      <c r="E133" s="168"/>
      <c r="F133" s="174">
        <v>1875</v>
      </c>
      <c r="G133" s="174">
        <v>1875</v>
      </c>
      <c r="H133" s="174">
        <v>1925</v>
      </c>
      <c r="I133" s="174">
        <v>2000</v>
      </c>
      <c r="J133" s="174"/>
      <c r="K133" s="174">
        <v>1975</v>
      </c>
      <c r="L133" s="174">
        <v>2000</v>
      </c>
    </row>
    <row r="134" spans="1:14" ht="15" customHeight="1" x14ac:dyDescent="0.3">
      <c r="A134" s="505" t="s">
        <v>373</v>
      </c>
      <c r="B134" s="479"/>
      <c r="C134" s="474" t="s">
        <v>121</v>
      </c>
      <c r="D134" s="168"/>
      <c r="E134" s="168"/>
      <c r="F134" s="174">
        <v>0</v>
      </c>
      <c r="G134" s="174">
        <v>0</v>
      </c>
      <c r="H134" s="174">
        <v>0</v>
      </c>
      <c r="I134" s="174">
        <v>0</v>
      </c>
      <c r="J134" s="174"/>
      <c r="K134" s="174">
        <v>0</v>
      </c>
      <c r="L134" s="174">
        <v>0</v>
      </c>
    </row>
    <row r="135" spans="1:14" ht="15" customHeight="1" x14ac:dyDescent="0.3">
      <c r="A135" s="505"/>
      <c r="B135" s="479"/>
      <c r="C135" s="428"/>
      <c r="D135" s="168"/>
      <c r="E135" s="168"/>
      <c r="F135" s="174"/>
      <c r="G135" s="174"/>
      <c r="H135" s="174"/>
      <c r="I135" s="174"/>
      <c r="J135" s="174"/>
      <c r="K135" s="174"/>
      <c r="L135" s="174"/>
    </row>
    <row r="136" spans="1:14" s="184" customFormat="1" ht="15.6" x14ac:dyDescent="0.3">
      <c r="A136" s="503"/>
      <c r="B136" s="470" t="s">
        <v>461</v>
      </c>
      <c r="C136" s="466"/>
      <c r="D136" s="466"/>
      <c r="E136" s="466"/>
      <c r="F136" s="183">
        <f>F110+F111+F121+F131+F133+F134</f>
        <v>106911.08</v>
      </c>
      <c r="G136" s="183">
        <f t="shared" ref="G136:L136" si="17">G110+G111+G121+G131+G133+G134</f>
        <v>89266.34</v>
      </c>
      <c r="H136" s="183">
        <f t="shared" si="17"/>
        <v>90582.080000000002</v>
      </c>
      <c r="I136" s="183">
        <f t="shared" si="17"/>
        <v>96807.08</v>
      </c>
      <c r="J136" s="183">
        <f t="shared" si="17"/>
        <v>0</v>
      </c>
      <c r="K136" s="183">
        <f t="shared" si="17"/>
        <v>103547.08</v>
      </c>
      <c r="L136" s="183">
        <f t="shared" si="17"/>
        <v>111014.08</v>
      </c>
      <c r="N136" s="134"/>
    </row>
    <row r="137" spans="1:14" s="184" customFormat="1" ht="15.6" x14ac:dyDescent="0.3">
      <c r="A137" s="503"/>
      <c r="B137" s="181"/>
      <c r="C137" s="182"/>
      <c r="D137" s="182"/>
      <c r="E137" s="182"/>
      <c r="F137" s="183"/>
      <c r="G137" s="183"/>
      <c r="H137" s="183"/>
      <c r="I137" s="183"/>
      <c r="J137" s="183"/>
      <c r="K137" s="183"/>
      <c r="L137" s="183"/>
      <c r="N137" s="134"/>
    </row>
    <row r="138" spans="1:14" s="184" customFormat="1" ht="17.399999999999999" x14ac:dyDescent="0.3">
      <c r="A138" s="507" t="s">
        <v>353</v>
      </c>
      <c r="B138" s="472" t="s">
        <v>367</v>
      </c>
      <c r="C138" s="466"/>
      <c r="D138" s="466"/>
      <c r="E138" s="466"/>
      <c r="F138" s="501" t="s">
        <v>474</v>
      </c>
      <c r="G138" s="183"/>
      <c r="H138" s="183"/>
      <c r="I138" s="183"/>
      <c r="J138" s="183"/>
      <c r="K138" s="183"/>
      <c r="L138" s="183"/>
      <c r="N138" s="134"/>
    </row>
    <row r="139" spans="1:14" s="184" customFormat="1" ht="15.6" x14ac:dyDescent="0.3">
      <c r="A139" s="507" t="s">
        <v>374</v>
      </c>
      <c r="B139" s="482"/>
      <c r="C139" s="439" t="s">
        <v>462</v>
      </c>
      <c r="D139" s="493"/>
      <c r="E139" s="493"/>
      <c r="F139" s="183"/>
      <c r="G139" s="183"/>
      <c r="H139" s="183"/>
      <c r="I139" s="183"/>
      <c r="J139" s="183"/>
      <c r="K139" s="183"/>
      <c r="L139" s="183"/>
      <c r="N139" s="134"/>
    </row>
    <row r="140" spans="1:14" ht="15" customHeight="1" x14ac:dyDescent="0.3">
      <c r="A140" s="507" t="s">
        <v>349</v>
      </c>
      <c r="B140" s="483"/>
      <c r="C140" s="492" t="s">
        <v>467</v>
      </c>
      <c r="D140" s="160"/>
      <c r="E140" s="160"/>
      <c r="F140" s="174">
        <v>1400</v>
      </c>
      <c r="G140" s="174">
        <v>1400</v>
      </c>
      <c r="H140" s="174">
        <v>1400</v>
      </c>
      <c r="I140" s="174">
        <v>1400</v>
      </c>
      <c r="J140" s="174"/>
      <c r="K140" s="174">
        <v>1400</v>
      </c>
      <c r="L140" s="174">
        <v>1400</v>
      </c>
    </row>
    <row r="141" spans="1:14" ht="15" customHeight="1" x14ac:dyDescent="0.3">
      <c r="A141" s="507"/>
      <c r="B141" s="483"/>
      <c r="C141" s="492" t="s">
        <v>464</v>
      </c>
      <c r="D141" s="160"/>
      <c r="E141" s="160"/>
      <c r="F141" s="174">
        <v>600</v>
      </c>
      <c r="G141" s="174">
        <v>600</v>
      </c>
      <c r="H141" s="174">
        <v>600</v>
      </c>
      <c r="I141" s="174">
        <v>600</v>
      </c>
      <c r="J141" s="174"/>
      <c r="K141" s="174">
        <v>600</v>
      </c>
      <c r="L141" s="174">
        <v>600</v>
      </c>
    </row>
    <row r="142" spans="1:14" ht="15" customHeight="1" x14ac:dyDescent="0.3">
      <c r="A142" s="507" t="s">
        <v>350</v>
      </c>
      <c r="B142" s="483"/>
      <c r="C142" s="492" t="s">
        <v>465</v>
      </c>
      <c r="D142" s="160"/>
      <c r="E142" s="160"/>
      <c r="F142" s="174">
        <v>2979.93</v>
      </c>
      <c r="G142" s="174">
        <v>2979.93</v>
      </c>
      <c r="H142" s="174">
        <v>2979.93</v>
      </c>
      <c r="I142" s="174">
        <v>2979.93</v>
      </c>
      <c r="J142" s="174"/>
      <c r="K142" s="174">
        <v>2979.93</v>
      </c>
      <c r="L142" s="174">
        <v>2979.93</v>
      </c>
    </row>
    <row r="143" spans="1:14" ht="15" customHeight="1" x14ac:dyDescent="0.3">
      <c r="A143" s="507" t="s">
        <v>374</v>
      </c>
      <c r="B143" s="483"/>
      <c r="C143" s="492" t="s">
        <v>466</v>
      </c>
      <c r="D143" s="160"/>
      <c r="E143" s="160"/>
      <c r="F143" s="174">
        <v>3040</v>
      </c>
      <c r="G143" s="174">
        <v>3040</v>
      </c>
      <c r="H143" s="174">
        <v>3040</v>
      </c>
      <c r="I143" s="174">
        <v>3040</v>
      </c>
      <c r="J143" s="174"/>
      <c r="K143" s="174">
        <v>3040</v>
      </c>
      <c r="L143" s="174">
        <v>3040</v>
      </c>
    </row>
    <row r="144" spans="1:14" s="184" customFormat="1" ht="15.6" x14ac:dyDescent="0.3">
      <c r="A144" s="507" t="s">
        <v>375</v>
      </c>
      <c r="B144" s="482"/>
      <c r="C144" s="494" t="s">
        <v>463</v>
      </c>
      <c r="D144" s="493"/>
      <c r="E144" s="493"/>
      <c r="F144" s="183">
        <f>SUM(F140:F143)</f>
        <v>8019.93</v>
      </c>
      <c r="G144" s="183">
        <f>SUM(G140:G143)</f>
        <v>8019.93</v>
      </c>
      <c r="H144" s="183">
        <f t="shared" ref="H144:I144" si="18">SUM(H140:H143)</f>
        <v>8019.93</v>
      </c>
      <c r="I144" s="183">
        <f t="shared" si="18"/>
        <v>8019.93</v>
      </c>
      <c r="J144" s="183"/>
      <c r="K144" s="183">
        <f t="shared" ref="K144:L144" si="19">SUM(K140:K143)</f>
        <v>8019.93</v>
      </c>
      <c r="L144" s="183">
        <f t="shared" si="19"/>
        <v>8019.93</v>
      </c>
      <c r="N144" s="134"/>
    </row>
    <row r="145" spans="1:14" s="184" customFormat="1" ht="15.6" x14ac:dyDescent="0.3">
      <c r="A145" s="507"/>
      <c r="B145" s="482"/>
      <c r="C145" s="396"/>
      <c r="D145" s="396"/>
      <c r="E145" s="396"/>
      <c r="F145" s="183"/>
      <c r="G145" s="183"/>
      <c r="H145" s="183"/>
      <c r="I145" s="183"/>
      <c r="J145" s="183"/>
      <c r="K145" s="183"/>
      <c r="L145" s="183"/>
      <c r="N145" s="134"/>
    </row>
    <row r="146" spans="1:14" s="184" customFormat="1" ht="15.6" x14ac:dyDescent="0.3">
      <c r="A146" s="507" t="s">
        <v>376</v>
      </c>
      <c r="B146" s="482"/>
      <c r="C146" s="494" t="s">
        <v>368</v>
      </c>
      <c r="D146" s="493"/>
      <c r="E146" s="493"/>
      <c r="F146" s="183"/>
      <c r="G146" s="183"/>
      <c r="H146" s="183"/>
      <c r="I146" s="183"/>
      <c r="J146" s="183"/>
      <c r="K146" s="183"/>
      <c r="L146" s="183"/>
      <c r="N146" s="134"/>
    </row>
    <row r="147" spans="1:14" s="184" customFormat="1" ht="15.6" x14ac:dyDescent="0.3">
      <c r="A147" s="508" t="s">
        <v>349</v>
      </c>
      <c r="B147" s="484"/>
      <c r="C147" s="493" t="s">
        <v>414</v>
      </c>
      <c r="D147" s="396"/>
      <c r="E147" s="396"/>
      <c r="F147" s="174">
        <v>3500</v>
      </c>
      <c r="G147" s="174">
        <v>3500</v>
      </c>
      <c r="H147" s="174">
        <v>3500</v>
      </c>
      <c r="I147" s="174">
        <v>4500</v>
      </c>
      <c r="J147" s="174"/>
      <c r="K147" s="174">
        <v>4500</v>
      </c>
      <c r="L147" s="174">
        <v>5000</v>
      </c>
      <c r="N147" s="134"/>
    </row>
    <row r="148" spans="1:14" s="184" customFormat="1" ht="15.6" x14ac:dyDescent="0.3">
      <c r="A148" s="508" t="s">
        <v>350</v>
      </c>
      <c r="B148" s="484"/>
      <c r="C148" s="493" t="s">
        <v>415</v>
      </c>
      <c r="D148" s="396"/>
      <c r="E148" s="396"/>
      <c r="F148" s="174">
        <v>850</v>
      </c>
      <c r="G148" s="174">
        <v>850</v>
      </c>
      <c r="H148" s="174">
        <v>850</v>
      </c>
      <c r="I148" s="174">
        <v>1200</v>
      </c>
      <c r="J148" s="174"/>
      <c r="K148" s="174">
        <v>1200</v>
      </c>
      <c r="L148" s="174">
        <v>1250</v>
      </c>
      <c r="N148" s="134"/>
    </row>
    <row r="149" spans="1:14" s="184" customFormat="1" ht="15.6" x14ac:dyDescent="0.3">
      <c r="A149" s="508" t="s">
        <v>351</v>
      </c>
      <c r="B149" s="484"/>
      <c r="C149" s="493" t="s">
        <v>416</v>
      </c>
      <c r="D149" s="396"/>
      <c r="E149" s="396"/>
      <c r="F149" s="174">
        <v>750</v>
      </c>
      <c r="G149" s="174">
        <v>750</v>
      </c>
      <c r="H149" s="174">
        <v>750</v>
      </c>
      <c r="I149" s="174">
        <v>850</v>
      </c>
      <c r="J149" s="174"/>
      <c r="K149" s="174">
        <v>850</v>
      </c>
      <c r="L149" s="174">
        <v>900</v>
      </c>
      <c r="N149" s="134"/>
    </row>
    <row r="150" spans="1:14" s="184" customFormat="1" ht="15.6" x14ac:dyDescent="0.3">
      <c r="A150" s="508" t="s">
        <v>356</v>
      </c>
      <c r="B150" s="484"/>
      <c r="C150" s="493" t="s">
        <v>417</v>
      </c>
      <c r="D150" s="396"/>
      <c r="E150" s="396"/>
      <c r="F150" s="174">
        <v>150</v>
      </c>
      <c r="G150" s="174">
        <v>150</v>
      </c>
      <c r="H150" s="174">
        <v>150</v>
      </c>
      <c r="I150" s="174">
        <v>250</v>
      </c>
      <c r="J150" s="174"/>
      <c r="K150" s="174">
        <v>250</v>
      </c>
      <c r="L150" s="174">
        <v>250</v>
      </c>
      <c r="N150" s="134"/>
    </row>
    <row r="151" spans="1:14" s="184" customFormat="1" ht="15.6" x14ac:dyDescent="0.3">
      <c r="A151" s="508" t="s">
        <v>355</v>
      </c>
      <c r="B151" s="484"/>
      <c r="C151" s="493" t="s">
        <v>418</v>
      </c>
      <c r="D151" s="396"/>
      <c r="E151" s="396"/>
      <c r="F151" s="174">
        <v>150</v>
      </c>
      <c r="G151" s="174">
        <v>150</v>
      </c>
      <c r="H151" s="174">
        <v>150</v>
      </c>
      <c r="I151" s="174">
        <v>150</v>
      </c>
      <c r="J151" s="174"/>
      <c r="K151" s="174">
        <v>150</v>
      </c>
      <c r="L151" s="174">
        <v>150</v>
      </c>
      <c r="N151" s="134"/>
    </row>
    <row r="152" spans="1:14" s="184" customFormat="1" ht="15.6" x14ac:dyDescent="0.3">
      <c r="A152" s="508"/>
      <c r="B152" s="495"/>
      <c r="C152" s="494" t="s">
        <v>468</v>
      </c>
      <c r="D152" s="493"/>
      <c r="E152" s="493"/>
      <c r="F152" s="183">
        <f>SUM(F147:F151)</f>
        <v>5400</v>
      </c>
      <c r="G152" s="183">
        <f t="shared" ref="G152:I152" si="20">SUM(G147:G151)</f>
        <v>5400</v>
      </c>
      <c r="H152" s="183">
        <f t="shared" si="20"/>
        <v>5400</v>
      </c>
      <c r="I152" s="183">
        <f t="shared" si="20"/>
        <v>6950</v>
      </c>
      <c r="J152" s="183"/>
      <c r="K152" s="183">
        <f t="shared" ref="K152:L152" si="21">SUM(K147:K151)</f>
        <v>6950</v>
      </c>
      <c r="L152" s="183">
        <f t="shared" si="21"/>
        <v>7550</v>
      </c>
      <c r="N152" s="134"/>
    </row>
    <row r="153" spans="1:14" s="184" customFormat="1" ht="15.6" x14ac:dyDescent="0.3">
      <c r="A153" s="508"/>
      <c r="B153" s="495"/>
      <c r="C153" s="396"/>
      <c r="D153" s="396"/>
      <c r="E153" s="396"/>
      <c r="F153" s="183"/>
      <c r="G153" s="183"/>
      <c r="H153" s="183"/>
      <c r="I153" s="183"/>
      <c r="J153" s="183"/>
      <c r="K153" s="183"/>
      <c r="L153" s="183"/>
      <c r="N153" s="134"/>
    </row>
    <row r="154" spans="1:14" ht="15" customHeight="1" x14ac:dyDescent="0.3">
      <c r="A154" s="508" t="s">
        <v>377</v>
      </c>
      <c r="B154" s="485"/>
      <c r="C154" s="496" t="s">
        <v>125</v>
      </c>
      <c r="D154" s="497"/>
      <c r="E154" s="497"/>
      <c r="F154" s="174"/>
      <c r="G154" s="174"/>
      <c r="H154" s="174"/>
      <c r="I154" s="174"/>
      <c r="J154" s="174"/>
      <c r="K154" s="174"/>
      <c r="L154" s="174"/>
    </row>
    <row r="155" spans="1:14" ht="15" customHeight="1" x14ac:dyDescent="0.3">
      <c r="A155" s="508" t="s">
        <v>349</v>
      </c>
      <c r="B155" s="485"/>
      <c r="C155" s="498" t="s">
        <v>419</v>
      </c>
      <c r="D155" s="404"/>
      <c r="E155" s="404"/>
      <c r="F155" s="174">
        <v>4002.41</v>
      </c>
      <c r="G155" s="174">
        <v>4002.41</v>
      </c>
      <c r="H155" s="174">
        <v>4002.41</v>
      </c>
      <c r="I155" s="174">
        <v>4002.41</v>
      </c>
      <c r="J155" s="174"/>
      <c r="K155" s="174">
        <v>4002.41</v>
      </c>
      <c r="L155" s="174">
        <v>4002.41</v>
      </c>
    </row>
    <row r="156" spans="1:14" ht="15" customHeight="1" x14ac:dyDescent="0.3">
      <c r="A156" s="509" t="s">
        <v>350</v>
      </c>
      <c r="B156" s="485"/>
      <c r="C156" s="498" t="s">
        <v>506</v>
      </c>
      <c r="D156" s="404"/>
      <c r="E156" s="404"/>
      <c r="F156" s="174">
        <v>2000</v>
      </c>
      <c r="G156" s="174">
        <v>2200</v>
      </c>
      <c r="H156" s="174">
        <v>2400</v>
      </c>
      <c r="I156" s="174">
        <v>2600</v>
      </c>
      <c r="J156" s="174"/>
      <c r="K156" s="174">
        <v>2600</v>
      </c>
      <c r="L156" s="174">
        <v>2800</v>
      </c>
    </row>
    <row r="157" spans="1:14" ht="15" customHeight="1" x14ac:dyDescent="0.3">
      <c r="A157" s="509" t="s">
        <v>351</v>
      </c>
      <c r="B157" s="485"/>
      <c r="C157" s="498" t="s">
        <v>429</v>
      </c>
      <c r="D157" s="404"/>
      <c r="E157" s="404"/>
      <c r="F157" s="174">
        <v>750</v>
      </c>
      <c r="G157" s="174">
        <v>750</v>
      </c>
      <c r="H157" s="174">
        <v>750</v>
      </c>
      <c r="I157" s="174">
        <v>750</v>
      </c>
      <c r="J157" s="174"/>
      <c r="K157" s="174">
        <v>750</v>
      </c>
      <c r="L157" s="174">
        <v>750</v>
      </c>
    </row>
    <row r="158" spans="1:14" ht="15" customHeight="1" x14ac:dyDescent="0.3">
      <c r="A158" s="509" t="s">
        <v>356</v>
      </c>
      <c r="B158" s="485"/>
      <c r="C158" s="498" t="s">
        <v>420</v>
      </c>
      <c r="D158" s="404"/>
      <c r="E158" s="404"/>
      <c r="F158" s="174">
        <v>250</v>
      </c>
      <c r="G158" s="174">
        <v>250</v>
      </c>
      <c r="H158" s="174">
        <v>250</v>
      </c>
      <c r="I158" s="174">
        <v>250</v>
      </c>
      <c r="J158" s="174"/>
      <c r="K158" s="174">
        <v>250</v>
      </c>
      <c r="L158" s="174">
        <v>250</v>
      </c>
    </row>
    <row r="159" spans="1:14" ht="15" customHeight="1" x14ac:dyDescent="0.3">
      <c r="A159" s="509" t="s">
        <v>355</v>
      </c>
      <c r="B159" s="485"/>
      <c r="C159" s="498" t="s">
        <v>421</v>
      </c>
      <c r="D159" s="404"/>
      <c r="E159" s="404"/>
      <c r="F159" s="174">
        <v>200</v>
      </c>
      <c r="G159" s="174">
        <v>200</v>
      </c>
      <c r="H159" s="174">
        <v>200</v>
      </c>
      <c r="I159" s="174">
        <v>200</v>
      </c>
      <c r="J159" s="174"/>
      <c r="K159" s="174">
        <v>200</v>
      </c>
      <c r="L159" s="174">
        <v>200</v>
      </c>
    </row>
    <row r="160" spans="1:14" ht="15" customHeight="1" x14ac:dyDescent="0.3">
      <c r="A160" s="509" t="s">
        <v>357</v>
      </c>
      <c r="B160" s="485"/>
      <c r="C160" s="498" t="s">
        <v>422</v>
      </c>
      <c r="D160" s="404"/>
      <c r="E160" s="404"/>
      <c r="F160" s="174">
        <v>450</v>
      </c>
      <c r="G160" s="174">
        <v>450</v>
      </c>
      <c r="H160" s="174">
        <v>450</v>
      </c>
      <c r="I160" s="174">
        <v>450</v>
      </c>
      <c r="J160" s="174"/>
      <c r="K160" s="174">
        <v>450</v>
      </c>
      <c r="L160" s="174">
        <v>450</v>
      </c>
    </row>
    <row r="161" spans="1:14" ht="15" customHeight="1" x14ac:dyDescent="0.3">
      <c r="A161" s="509" t="s">
        <v>358</v>
      </c>
      <c r="B161" s="485"/>
      <c r="C161" s="498" t="s">
        <v>423</v>
      </c>
      <c r="D161" s="404"/>
      <c r="E161" s="404"/>
      <c r="F161" s="174">
        <v>100</v>
      </c>
      <c r="G161" s="174">
        <v>100</v>
      </c>
      <c r="H161" s="174">
        <v>100</v>
      </c>
      <c r="I161" s="174">
        <v>100</v>
      </c>
      <c r="J161" s="174"/>
      <c r="K161" s="174">
        <v>100</v>
      </c>
      <c r="L161" s="174">
        <v>100</v>
      </c>
    </row>
    <row r="162" spans="1:14" ht="15" customHeight="1" x14ac:dyDescent="0.3">
      <c r="A162" s="509" t="s">
        <v>354</v>
      </c>
      <c r="B162" s="485"/>
      <c r="C162" s="498" t="s">
        <v>424</v>
      </c>
      <c r="D162" s="404"/>
      <c r="E162" s="404"/>
      <c r="F162" s="174">
        <v>475</v>
      </c>
      <c r="G162" s="174">
        <v>475</v>
      </c>
      <c r="H162" s="174">
        <v>475</v>
      </c>
      <c r="I162" s="174">
        <v>475</v>
      </c>
      <c r="J162" s="174"/>
      <c r="K162" s="174">
        <v>475</v>
      </c>
      <c r="L162" s="174">
        <v>475</v>
      </c>
    </row>
    <row r="163" spans="1:14" ht="15" customHeight="1" x14ac:dyDescent="0.3">
      <c r="A163" s="509" t="s">
        <v>359</v>
      </c>
      <c r="B163" s="485"/>
      <c r="C163" s="498" t="s">
        <v>425</v>
      </c>
      <c r="D163" s="404"/>
      <c r="E163" s="404"/>
      <c r="F163" s="174">
        <v>550</v>
      </c>
      <c r="G163" s="174">
        <v>550</v>
      </c>
      <c r="H163" s="174">
        <v>550</v>
      </c>
      <c r="I163" s="174">
        <v>550</v>
      </c>
      <c r="J163" s="174"/>
      <c r="K163" s="174">
        <v>550</v>
      </c>
      <c r="L163" s="174">
        <v>550</v>
      </c>
    </row>
    <row r="164" spans="1:14" ht="15" customHeight="1" x14ac:dyDescent="0.3">
      <c r="A164" s="509" t="s">
        <v>378</v>
      </c>
      <c r="B164" s="485"/>
      <c r="C164" s="498" t="s">
        <v>426</v>
      </c>
      <c r="D164" s="404"/>
      <c r="E164" s="404"/>
      <c r="F164" s="174">
        <v>450</v>
      </c>
      <c r="G164" s="174">
        <v>0</v>
      </c>
      <c r="H164" s="174">
        <v>0</v>
      </c>
      <c r="I164" s="174">
        <v>450</v>
      </c>
      <c r="J164" s="174"/>
      <c r="K164" s="174">
        <v>0</v>
      </c>
      <c r="L164" s="174">
        <v>0</v>
      </c>
    </row>
    <row r="165" spans="1:14" ht="15" customHeight="1" x14ac:dyDescent="0.3">
      <c r="A165" s="509" t="s">
        <v>379</v>
      </c>
      <c r="B165" s="485"/>
      <c r="C165" s="498" t="s">
        <v>427</v>
      </c>
      <c r="D165" s="404"/>
      <c r="E165" s="404"/>
      <c r="F165" s="174">
        <v>225</v>
      </c>
      <c r="G165" s="174">
        <v>225</v>
      </c>
      <c r="H165" s="174">
        <v>225</v>
      </c>
      <c r="I165" s="174">
        <v>225</v>
      </c>
      <c r="J165" s="174"/>
      <c r="K165" s="174">
        <v>225</v>
      </c>
      <c r="L165" s="174">
        <v>225</v>
      </c>
    </row>
    <row r="166" spans="1:14" ht="15" customHeight="1" x14ac:dyDescent="0.3">
      <c r="A166" s="509" t="s">
        <v>365</v>
      </c>
      <c r="B166" s="485"/>
      <c r="C166" s="498" t="s">
        <v>428</v>
      </c>
      <c r="D166" s="404"/>
      <c r="E166" s="404"/>
      <c r="F166" s="174">
        <v>400</v>
      </c>
      <c r="G166" s="174">
        <v>400</v>
      </c>
      <c r="H166" s="174">
        <v>400</v>
      </c>
      <c r="I166" s="174">
        <v>400</v>
      </c>
      <c r="J166" s="174"/>
      <c r="K166" s="174">
        <v>400</v>
      </c>
      <c r="L166" s="174">
        <v>400</v>
      </c>
    </row>
    <row r="167" spans="1:14" s="184" customFormat="1" ht="15.6" x14ac:dyDescent="0.3">
      <c r="A167" s="508" t="s">
        <v>377</v>
      </c>
      <c r="B167" s="485"/>
      <c r="C167" s="494" t="s">
        <v>136</v>
      </c>
      <c r="D167" s="494"/>
      <c r="E167" s="494"/>
      <c r="F167" s="183">
        <f>SUM(F155:F166)</f>
        <v>9852.41</v>
      </c>
      <c r="G167" s="183">
        <f>SUM(G155:G166)</f>
        <v>9602.41</v>
      </c>
      <c r="H167" s="183">
        <f>SUM(H155:H166)</f>
        <v>9802.41</v>
      </c>
      <c r="I167" s="183">
        <f>SUM(I155:I166)</f>
        <v>10452.41</v>
      </c>
      <c r="J167" s="183"/>
      <c r="K167" s="183">
        <f>SUM(K155:K166)</f>
        <v>10002.41</v>
      </c>
      <c r="L167" s="183">
        <f>SUM(L155:L166)</f>
        <v>10202.41</v>
      </c>
      <c r="N167" s="134"/>
    </row>
    <row r="168" spans="1:14" ht="15" customHeight="1" x14ac:dyDescent="0.3">
      <c r="A168" s="505"/>
      <c r="B168" s="487"/>
      <c r="C168" s="398"/>
      <c r="D168" s="398"/>
      <c r="E168" s="398"/>
      <c r="F168" s="174"/>
      <c r="G168" s="174"/>
      <c r="H168" s="174"/>
      <c r="I168" s="174"/>
      <c r="J168" s="174"/>
      <c r="K168" s="174"/>
      <c r="L168" s="174"/>
    </row>
    <row r="169" spans="1:14" ht="15" customHeight="1" x14ac:dyDescent="0.3">
      <c r="A169" s="509" t="s">
        <v>380</v>
      </c>
      <c r="B169" s="487"/>
      <c r="C169" s="497" t="s">
        <v>369</v>
      </c>
      <c r="D169" s="497"/>
      <c r="E169" s="497"/>
      <c r="F169" s="174"/>
      <c r="G169" s="174"/>
      <c r="H169" s="174"/>
      <c r="I169" s="174"/>
      <c r="J169" s="174"/>
      <c r="K169" s="174"/>
      <c r="L169" s="174"/>
    </row>
    <row r="170" spans="1:14" ht="15" customHeight="1" x14ac:dyDescent="0.3">
      <c r="A170" s="510" t="s">
        <v>349</v>
      </c>
      <c r="B170" s="483"/>
      <c r="C170" s="492" t="s">
        <v>470</v>
      </c>
      <c r="D170" s="160"/>
      <c r="E170" s="160"/>
      <c r="F170" s="174">
        <f>763.06+162.6+371.51+18+648.05+844.29+49.39</f>
        <v>2856.9</v>
      </c>
      <c r="G170" s="174">
        <f>763.06+162.6+371.51+18+648.05+844.29+49.39</f>
        <v>2856.9</v>
      </c>
      <c r="H170" s="174">
        <v>18000</v>
      </c>
      <c r="I170" s="174">
        <v>18500</v>
      </c>
      <c r="J170" s="174"/>
      <c r="K170" s="174">
        <v>19000</v>
      </c>
      <c r="L170" s="174">
        <v>19250</v>
      </c>
    </row>
    <row r="171" spans="1:14" ht="15" customHeight="1" x14ac:dyDescent="0.3">
      <c r="A171" s="509" t="s">
        <v>350</v>
      </c>
      <c r="B171" s="483"/>
      <c r="C171" s="492" t="s">
        <v>430</v>
      </c>
      <c r="D171" s="160"/>
      <c r="E171" s="160"/>
      <c r="F171" s="174">
        <f>193.19+1165</f>
        <v>1358.19</v>
      </c>
      <c r="G171" s="174">
        <f>193.19+1165</f>
        <v>1358.19</v>
      </c>
      <c r="H171" s="174">
        <f t="shared" ref="H171" si="22">193.19+1165</f>
        <v>1358.19</v>
      </c>
      <c r="I171" s="174">
        <v>1400</v>
      </c>
      <c r="J171" s="174"/>
      <c r="K171" s="174">
        <v>1400</v>
      </c>
      <c r="L171" s="174">
        <v>1550</v>
      </c>
    </row>
    <row r="172" spans="1:14" ht="15" customHeight="1" x14ac:dyDescent="0.3">
      <c r="A172" s="510" t="s">
        <v>351</v>
      </c>
      <c r="B172" s="483"/>
      <c r="C172" s="492" t="s">
        <v>431</v>
      </c>
      <c r="D172" s="160"/>
      <c r="E172" s="160"/>
      <c r="F172" s="174">
        <f>725.86</f>
        <v>725.86</v>
      </c>
      <c r="G172" s="174">
        <f>725.86</f>
        <v>725.86</v>
      </c>
      <c r="H172" s="174">
        <v>200</v>
      </c>
      <c r="I172" s="174">
        <v>200</v>
      </c>
      <c r="J172" s="174"/>
      <c r="K172" s="174">
        <v>200</v>
      </c>
      <c r="L172" s="174">
        <v>200</v>
      </c>
    </row>
    <row r="173" spans="1:14" ht="15" customHeight="1" x14ac:dyDescent="0.3">
      <c r="A173" s="509" t="s">
        <v>356</v>
      </c>
      <c r="B173" s="483"/>
      <c r="C173" s="492" t="s">
        <v>432</v>
      </c>
      <c r="D173" s="160"/>
      <c r="E173" s="160"/>
      <c r="F173" s="174">
        <v>3262</v>
      </c>
      <c r="G173" s="174">
        <v>3262</v>
      </c>
      <c r="H173" s="174">
        <v>3262</v>
      </c>
      <c r="I173" s="174">
        <v>3262</v>
      </c>
      <c r="J173" s="174"/>
      <c r="K173" s="174">
        <v>3262</v>
      </c>
      <c r="L173" s="174">
        <v>3262</v>
      </c>
    </row>
    <row r="174" spans="1:14" ht="15" customHeight="1" x14ac:dyDescent="0.3">
      <c r="A174" s="509"/>
      <c r="B174" s="483"/>
      <c r="C174" s="497" t="s">
        <v>469</v>
      </c>
      <c r="D174" s="492"/>
      <c r="E174" s="492"/>
      <c r="F174" s="183">
        <f>SUM(F170:F173)</f>
        <v>8202.9500000000007</v>
      </c>
      <c r="G174" s="183">
        <f t="shared" ref="G174:L174" si="23">SUM(G170:G173)</f>
        <v>8202.9500000000007</v>
      </c>
      <c r="H174" s="183">
        <f t="shared" si="23"/>
        <v>22820.19</v>
      </c>
      <c r="I174" s="183">
        <f t="shared" si="23"/>
        <v>23362</v>
      </c>
      <c r="J174" s="183">
        <f t="shared" si="23"/>
        <v>0</v>
      </c>
      <c r="K174" s="183">
        <f t="shared" si="23"/>
        <v>23862</v>
      </c>
      <c r="L174" s="183">
        <f t="shared" si="23"/>
        <v>24262</v>
      </c>
    </row>
    <row r="175" spans="1:14" ht="15" customHeight="1" x14ac:dyDescent="0.3">
      <c r="A175" s="509"/>
      <c r="B175" s="483"/>
      <c r="C175" s="160"/>
      <c r="D175" s="160"/>
      <c r="E175" s="160"/>
      <c r="F175" s="174"/>
      <c r="G175" s="174"/>
      <c r="H175" s="174"/>
      <c r="I175" s="174"/>
      <c r="J175" s="174"/>
      <c r="K175" s="174"/>
      <c r="L175" s="174"/>
    </row>
    <row r="176" spans="1:14" ht="15" customHeight="1" x14ac:dyDescent="0.3">
      <c r="A176" s="511" t="s">
        <v>381</v>
      </c>
      <c r="B176" s="487"/>
      <c r="C176" s="497" t="s">
        <v>148</v>
      </c>
      <c r="D176" s="497"/>
      <c r="E176" s="497"/>
      <c r="F176" s="174"/>
      <c r="G176" s="174"/>
      <c r="H176" s="174"/>
      <c r="I176" s="174"/>
      <c r="J176" s="174"/>
      <c r="K176" s="174"/>
      <c r="L176" s="174"/>
    </row>
    <row r="177" spans="1:12" ht="15" customHeight="1" x14ac:dyDescent="0.3">
      <c r="A177" s="509" t="s">
        <v>349</v>
      </c>
      <c r="B177" s="483"/>
      <c r="C177" s="492" t="s">
        <v>433</v>
      </c>
      <c r="D177" s="160"/>
      <c r="E177" s="160"/>
      <c r="F177" s="174">
        <f>F38*0.022</f>
        <v>26001.83828</v>
      </c>
      <c r="G177" s="174">
        <f t="shared" ref="G177:I177" si="24">G38*0.022</f>
        <v>26611.317589999999</v>
      </c>
      <c r="H177" s="174">
        <f t="shared" si="24"/>
        <v>28448.130260000002</v>
      </c>
      <c r="I177" s="174">
        <f t="shared" si="24"/>
        <v>29156.394913535998</v>
      </c>
      <c r="J177" s="174"/>
      <c r="K177" s="174">
        <f t="shared" ref="K177:L177" si="25">K38*0.022</f>
        <v>29454.343019199998</v>
      </c>
      <c r="L177" s="174">
        <f t="shared" si="25"/>
        <v>30380.352739967999</v>
      </c>
    </row>
    <row r="178" spans="1:12" ht="15" customHeight="1" x14ac:dyDescent="0.3">
      <c r="A178" s="510" t="s">
        <v>350</v>
      </c>
      <c r="B178" s="483"/>
      <c r="C178" s="492" t="s">
        <v>434</v>
      </c>
      <c r="D178" s="160"/>
      <c r="E178" s="160"/>
      <c r="F178" s="174">
        <v>400</v>
      </c>
      <c r="G178" s="174">
        <v>400</v>
      </c>
      <c r="H178" s="174">
        <v>450</v>
      </c>
      <c r="I178" s="174">
        <v>450</v>
      </c>
      <c r="J178" s="174"/>
      <c r="K178" s="174">
        <v>450</v>
      </c>
      <c r="L178" s="174">
        <v>500</v>
      </c>
    </row>
    <row r="179" spans="1:12" ht="15" customHeight="1" x14ac:dyDescent="0.3">
      <c r="A179" s="509" t="s">
        <v>351</v>
      </c>
      <c r="B179" s="483"/>
      <c r="C179" s="492" t="s">
        <v>435</v>
      </c>
      <c r="D179" s="160"/>
      <c r="E179" s="160"/>
      <c r="F179" s="174">
        <v>0</v>
      </c>
      <c r="G179" s="174">
        <v>0</v>
      </c>
      <c r="H179" s="174">
        <v>0</v>
      </c>
      <c r="I179" s="174">
        <v>0</v>
      </c>
      <c r="J179" s="174"/>
      <c r="K179" s="174">
        <v>0</v>
      </c>
      <c r="L179" s="174">
        <v>0</v>
      </c>
    </row>
    <row r="180" spans="1:12" ht="15" customHeight="1" x14ac:dyDescent="0.3">
      <c r="A180" s="510" t="s">
        <v>356</v>
      </c>
      <c r="B180" s="483"/>
      <c r="C180" s="492" t="s">
        <v>436</v>
      </c>
      <c r="D180" s="160"/>
      <c r="E180" s="160"/>
      <c r="F180" s="174">
        <v>0</v>
      </c>
      <c r="G180" s="174">
        <v>0</v>
      </c>
      <c r="H180" s="174">
        <v>0</v>
      </c>
      <c r="I180" s="174">
        <v>0</v>
      </c>
      <c r="J180" s="174"/>
      <c r="K180" s="174">
        <v>0</v>
      </c>
      <c r="L180" s="174">
        <v>0</v>
      </c>
    </row>
    <row r="181" spans="1:12" ht="15" customHeight="1" x14ac:dyDescent="0.3">
      <c r="A181" s="510"/>
      <c r="B181" s="483"/>
      <c r="C181" s="497" t="s">
        <v>471</v>
      </c>
      <c r="D181" s="492"/>
      <c r="E181" s="492"/>
      <c r="F181" s="174">
        <f>SUM(F177:F180)</f>
        <v>26401.83828</v>
      </c>
      <c r="G181" s="174">
        <f t="shared" ref="G181:L181" si="26">SUM(G177:G180)</f>
        <v>27011.317589999999</v>
      </c>
      <c r="H181" s="174">
        <f t="shared" si="26"/>
        <v>28898.130260000002</v>
      </c>
      <c r="I181" s="174">
        <f t="shared" si="26"/>
        <v>29606.394913535998</v>
      </c>
      <c r="J181" s="174">
        <f t="shared" si="26"/>
        <v>0</v>
      </c>
      <c r="K181" s="174">
        <f t="shared" si="26"/>
        <v>29904.343019199998</v>
      </c>
      <c r="L181" s="174">
        <f t="shared" si="26"/>
        <v>30880.352739967999</v>
      </c>
    </row>
    <row r="182" spans="1:12" ht="15" customHeight="1" x14ac:dyDescent="0.3">
      <c r="A182" s="510"/>
      <c r="B182" s="483"/>
      <c r="C182" s="160"/>
      <c r="D182" s="160"/>
      <c r="E182" s="160"/>
      <c r="F182" s="174"/>
      <c r="G182" s="174"/>
      <c r="H182" s="174"/>
      <c r="I182" s="174"/>
      <c r="J182" s="174"/>
      <c r="K182" s="174"/>
      <c r="L182" s="174"/>
    </row>
    <row r="183" spans="1:12" ht="15" customHeight="1" x14ac:dyDescent="0.3">
      <c r="A183" s="505"/>
      <c r="B183" s="488"/>
      <c r="C183" s="499" t="s">
        <v>45</v>
      </c>
      <c r="D183" s="499"/>
      <c r="E183" s="499"/>
      <c r="F183" s="174"/>
      <c r="G183" s="174"/>
      <c r="H183" s="174"/>
      <c r="I183" s="174"/>
      <c r="J183" s="174"/>
      <c r="K183" s="174"/>
      <c r="L183" s="174"/>
    </row>
    <row r="184" spans="1:12" ht="15" customHeight="1" x14ac:dyDescent="0.3">
      <c r="A184" s="505"/>
      <c r="B184" s="489"/>
      <c r="C184" s="498" t="s">
        <v>437</v>
      </c>
      <c r="D184" s="404"/>
      <c r="E184" s="404"/>
      <c r="F184" s="174">
        <v>500</v>
      </c>
      <c r="G184" s="174">
        <v>500</v>
      </c>
      <c r="H184" s="174">
        <v>500</v>
      </c>
      <c r="I184" s="174">
        <v>500</v>
      </c>
      <c r="J184" s="174"/>
      <c r="K184" s="174">
        <v>500</v>
      </c>
      <c r="L184" s="174">
        <v>500</v>
      </c>
    </row>
    <row r="185" spans="1:12" ht="15" customHeight="1" x14ac:dyDescent="0.3">
      <c r="A185" s="505"/>
      <c r="B185" s="490"/>
      <c r="C185" s="500" t="s">
        <v>438</v>
      </c>
      <c r="D185" s="418"/>
      <c r="E185" s="418"/>
      <c r="F185" s="174">
        <v>250</v>
      </c>
      <c r="G185" s="174">
        <v>250</v>
      </c>
      <c r="H185" s="174">
        <v>250</v>
      </c>
      <c r="I185" s="174">
        <v>250</v>
      </c>
      <c r="J185" s="174"/>
      <c r="K185" s="174">
        <v>250</v>
      </c>
      <c r="L185" s="174">
        <v>250</v>
      </c>
    </row>
    <row r="186" spans="1:12" ht="15" customHeight="1" x14ac:dyDescent="0.3">
      <c r="A186" s="505"/>
      <c r="B186" s="489"/>
      <c r="C186" s="498" t="s">
        <v>439</v>
      </c>
      <c r="D186" s="404"/>
      <c r="E186" s="404"/>
      <c r="F186" s="174">
        <v>700</v>
      </c>
      <c r="G186" s="174">
        <v>700</v>
      </c>
      <c r="H186" s="174">
        <v>700</v>
      </c>
      <c r="I186" s="174">
        <v>700</v>
      </c>
      <c r="J186" s="174"/>
      <c r="K186" s="174">
        <v>700</v>
      </c>
      <c r="L186" s="174">
        <v>700</v>
      </c>
    </row>
    <row r="187" spans="1:12" ht="15" customHeight="1" x14ac:dyDescent="0.3">
      <c r="A187" s="505"/>
      <c r="B187" s="489"/>
      <c r="C187" s="498" t="s">
        <v>440</v>
      </c>
      <c r="D187" s="404"/>
      <c r="E187" s="404"/>
      <c r="F187" s="174">
        <v>0</v>
      </c>
      <c r="G187" s="174">
        <v>0</v>
      </c>
      <c r="H187" s="174">
        <v>0</v>
      </c>
      <c r="I187" s="174">
        <v>0</v>
      </c>
      <c r="J187" s="174"/>
      <c r="K187" s="174">
        <v>0</v>
      </c>
      <c r="L187" s="174">
        <v>0</v>
      </c>
    </row>
    <row r="188" spans="1:12" ht="15" customHeight="1" x14ac:dyDescent="0.3">
      <c r="A188" s="505"/>
      <c r="B188" s="489"/>
      <c r="C188" s="498" t="s">
        <v>441</v>
      </c>
      <c r="D188" s="404"/>
      <c r="E188" s="404"/>
      <c r="F188" s="174">
        <v>450</v>
      </c>
      <c r="G188" s="174">
        <v>450</v>
      </c>
      <c r="H188" s="174">
        <v>450</v>
      </c>
      <c r="I188" s="174">
        <v>450</v>
      </c>
      <c r="J188" s="174"/>
      <c r="K188" s="174">
        <v>450</v>
      </c>
      <c r="L188" s="174">
        <v>450</v>
      </c>
    </row>
    <row r="189" spans="1:12" ht="15" customHeight="1" x14ac:dyDescent="0.3">
      <c r="A189" s="505"/>
      <c r="B189" s="489"/>
      <c r="C189" s="498" t="s">
        <v>442</v>
      </c>
      <c r="D189" s="404"/>
      <c r="E189" s="404"/>
      <c r="F189" s="174">
        <v>0</v>
      </c>
      <c r="G189" s="174">
        <v>0</v>
      </c>
      <c r="H189" s="174">
        <v>0</v>
      </c>
      <c r="I189" s="174">
        <v>0</v>
      </c>
      <c r="J189" s="174"/>
      <c r="K189" s="174">
        <v>0</v>
      </c>
      <c r="L189" s="174">
        <v>0</v>
      </c>
    </row>
    <row r="190" spans="1:12" ht="15" customHeight="1" x14ac:dyDescent="0.3">
      <c r="A190" s="505"/>
      <c r="B190" s="489"/>
      <c r="C190" s="498" t="s">
        <v>443</v>
      </c>
      <c r="D190" s="404"/>
      <c r="E190" s="404"/>
      <c r="F190" s="174">
        <v>1500</v>
      </c>
      <c r="G190" s="174">
        <v>1500</v>
      </c>
      <c r="H190" s="174">
        <v>1500</v>
      </c>
      <c r="I190" s="174">
        <v>1500</v>
      </c>
      <c r="J190" s="174"/>
      <c r="K190" s="174">
        <v>1500</v>
      </c>
      <c r="L190" s="174">
        <v>1500</v>
      </c>
    </row>
    <row r="191" spans="1:12" s="184" customFormat="1" ht="15.6" x14ac:dyDescent="0.3">
      <c r="A191" s="503"/>
      <c r="B191" s="484"/>
      <c r="C191" s="494" t="s">
        <v>147</v>
      </c>
      <c r="D191" s="494"/>
      <c r="E191" s="494"/>
      <c r="F191" s="183">
        <f>SUM(F184:F190)</f>
        <v>3400</v>
      </c>
      <c r="G191" s="183">
        <f>SUM(G184:G190)</f>
        <v>3400</v>
      </c>
      <c r="H191" s="183">
        <f>SUM(H184:H190)</f>
        <v>3400</v>
      </c>
      <c r="I191" s="183">
        <f>SUM(I184:I190)</f>
        <v>3400</v>
      </c>
      <c r="J191" s="183"/>
      <c r="K191" s="183">
        <f>SUM(K184:K190)</f>
        <v>3400</v>
      </c>
      <c r="L191" s="183">
        <f>SUM(L184:L190)</f>
        <v>3400</v>
      </c>
    </row>
    <row r="192" spans="1:12" s="184" customFormat="1" ht="15.6" x14ac:dyDescent="0.3">
      <c r="A192" s="503"/>
      <c r="B192" s="484"/>
      <c r="C192" s="397"/>
      <c r="D192" s="397"/>
      <c r="E192" s="397"/>
      <c r="F192" s="183"/>
      <c r="G192" s="183"/>
      <c r="H192" s="183"/>
      <c r="I192" s="183"/>
      <c r="J192" s="183"/>
      <c r="K192" s="183"/>
      <c r="L192" s="183"/>
    </row>
    <row r="193" spans="1:12" s="184" customFormat="1" ht="15.6" x14ac:dyDescent="0.3">
      <c r="A193" s="503"/>
      <c r="B193" s="484"/>
      <c r="C193" s="494" t="s">
        <v>382</v>
      </c>
      <c r="D193" s="494"/>
      <c r="E193" s="494"/>
      <c r="F193" s="183"/>
      <c r="G193" s="183"/>
      <c r="H193" s="183"/>
      <c r="I193" s="183"/>
      <c r="J193" s="183"/>
      <c r="K193" s="183"/>
      <c r="L193" s="183"/>
    </row>
    <row r="194" spans="1:12" ht="15" customHeight="1" x14ac:dyDescent="0.3">
      <c r="A194" s="505"/>
      <c r="B194" s="491"/>
      <c r="C194" s="492" t="s">
        <v>478</v>
      </c>
      <c r="D194" s="160"/>
      <c r="E194" s="160"/>
      <c r="F194" s="174">
        <v>700</v>
      </c>
      <c r="G194" s="174">
        <v>700</v>
      </c>
      <c r="H194" s="174">
        <v>700</v>
      </c>
      <c r="I194" s="174">
        <v>700</v>
      </c>
      <c r="J194" s="174"/>
      <c r="K194" s="174">
        <v>700</v>
      </c>
      <c r="L194" s="174">
        <v>700</v>
      </c>
    </row>
    <row r="195" spans="1:12" ht="15" customHeight="1" x14ac:dyDescent="0.3">
      <c r="A195" s="505"/>
      <c r="B195" s="487"/>
      <c r="C195" s="496" t="s">
        <v>477</v>
      </c>
      <c r="D195" s="398"/>
      <c r="E195" s="398"/>
      <c r="F195" s="174">
        <v>4500</v>
      </c>
      <c r="G195" s="174">
        <v>4500</v>
      </c>
      <c r="H195" s="174">
        <v>4500</v>
      </c>
      <c r="I195" s="174">
        <v>4500</v>
      </c>
      <c r="J195" s="174"/>
      <c r="K195" s="174">
        <v>4500</v>
      </c>
      <c r="L195" s="174">
        <v>4500</v>
      </c>
    </row>
    <row r="196" spans="1:12" ht="15" customHeight="1" x14ac:dyDescent="0.3">
      <c r="A196" s="505"/>
      <c r="B196" s="487"/>
      <c r="C196" s="496" t="s">
        <v>479</v>
      </c>
      <c r="D196" s="398"/>
      <c r="E196" s="398"/>
      <c r="F196" s="174">
        <f>878.63</f>
        <v>878.63</v>
      </c>
      <c r="G196" s="174">
        <f>878.63</f>
        <v>878.63</v>
      </c>
      <c r="H196" s="174">
        <v>700</v>
      </c>
      <c r="I196" s="174">
        <v>750</v>
      </c>
      <c r="J196" s="174"/>
      <c r="K196" s="174">
        <v>800</v>
      </c>
      <c r="L196" s="174">
        <v>850</v>
      </c>
    </row>
    <row r="197" spans="1:12" ht="15" customHeight="1" x14ac:dyDescent="0.3">
      <c r="A197" s="505"/>
      <c r="B197" s="487"/>
      <c r="C197" s="496" t="s">
        <v>480</v>
      </c>
      <c r="D197" s="398"/>
      <c r="E197" s="398"/>
      <c r="F197" s="174">
        <v>400</v>
      </c>
      <c r="G197" s="174">
        <v>400</v>
      </c>
      <c r="H197" s="174">
        <v>400</v>
      </c>
      <c r="I197" s="174">
        <v>400</v>
      </c>
      <c r="J197" s="174"/>
      <c r="K197" s="174">
        <v>400</v>
      </c>
      <c r="L197" s="174">
        <v>400</v>
      </c>
    </row>
    <row r="198" spans="1:12" ht="15" customHeight="1" x14ac:dyDescent="0.3">
      <c r="A198" s="505"/>
      <c r="B198" s="487"/>
      <c r="C198" s="496" t="s">
        <v>481</v>
      </c>
      <c r="D198" s="398"/>
      <c r="E198" s="398"/>
      <c r="F198" s="174">
        <v>0</v>
      </c>
      <c r="G198" s="174">
        <v>250</v>
      </c>
      <c r="H198" s="174">
        <v>550</v>
      </c>
      <c r="I198" s="174">
        <v>1200</v>
      </c>
      <c r="J198" s="174"/>
      <c r="K198" s="174">
        <v>1200</v>
      </c>
      <c r="L198" s="174">
        <v>1500</v>
      </c>
    </row>
    <row r="199" spans="1:12" ht="15" customHeight="1" x14ac:dyDescent="0.3">
      <c r="A199" s="505"/>
      <c r="B199" s="487"/>
      <c r="C199" s="496" t="s">
        <v>482</v>
      </c>
      <c r="D199" s="398"/>
      <c r="E199" s="398"/>
      <c r="F199" s="174">
        <v>300</v>
      </c>
      <c r="G199" s="174">
        <v>300</v>
      </c>
      <c r="H199" s="174">
        <v>325</v>
      </c>
      <c r="I199" s="174">
        <v>325</v>
      </c>
      <c r="J199" s="174"/>
      <c r="K199" s="174">
        <v>325</v>
      </c>
      <c r="L199" s="174">
        <v>350</v>
      </c>
    </row>
    <row r="200" spans="1:12" ht="15" customHeight="1" x14ac:dyDescent="0.3">
      <c r="A200" s="505"/>
      <c r="B200" s="487"/>
      <c r="C200" s="497" t="s">
        <v>475</v>
      </c>
      <c r="D200" s="497"/>
      <c r="E200" s="497"/>
      <c r="F200" s="174">
        <f>SUM(F194:F199)</f>
        <v>6778.63</v>
      </c>
      <c r="G200" s="174">
        <f t="shared" ref="G200:I200" si="27">SUM(G194:G199)</f>
        <v>7028.63</v>
      </c>
      <c r="H200" s="174">
        <f t="shared" si="27"/>
        <v>7175</v>
      </c>
      <c r="I200" s="174">
        <f t="shared" si="27"/>
        <v>7875</v>
      </c>
      <c r="J200" s="174"/>
      <c r="K200" s="174">
        <f t="shared" ref="K200:L200" si="28">SUM(K194:K199)</f>
        <v>7925</v>
      </c>
      <c r="L200" s="174">
        <f t="shared" si="28"/>
        <v>8300</v>
      </c>
    </row>
    <row r="201" spans="1:12" ht="15" customHeight="1" x14ac:dyDescent="0.3">
      <c r="A201" s="505"/>
      <c r="B201" s="486"/>
      <c r="C201" s="173"/>
      <c r="D201" s="173"/>
      <c r="E201" s="173"/>
      <c r="F201" s="174"/>
      <c r="G201" s="174"/>
      <c r="H201" s="174"/>
      <c r="I201" s="174"/>
      <c r="J201" s="174"/>
      <c r="K201" s="174"/>
      <c r="L201" s="174"/>
    </row>
    <row r="202" spans="1:12" s="184" customFormat="1" ht="15.6" x14ac:dyDescent="0.3">
      <c r="A202" s="503"/>
      <c r="B202" s="470" t="s">
        <v>510</v>
      </c>
      <c r="C202" s="466"/>
      <c r="D202" s="466"/>
      <c r="E202" s="466"/>
      <c r="F202" s="183">
        <f>F144+F152+F167+F174+F181+F191+F200</f>
        <v>68055.758280000009</v>
      </c>
      <c r="G202" s="183">
        <f t="shared" ref="G202:L202" si="29">G144+G152+G167+G174+G181+G191+G200</f>
        <v>68665.237590000004</v>
      </c>
      <c r="H202" s="183">
        <f t="shared" si="29"/>
        <v>85515.660260000004</v>
      </c>
      <c r="I202" s="183">
        <f t="shared" si="29"/>
        <v>89665.734913535998</v>
      </c>
      <c r="J202" s="183">
        <f t="shared" si="29"/>
        <v>0</v>
      </c>
      <c r="K202" s="183">
        <f t="shared" si="29"/>
        <v>90063.683019199991</v>
      </c>
      <c r="L202" s="183">
        <f t="shared" si="29"/>
        <v>92614.692739967999</v>
      </c>
    </row>
    <row r="203" spans="1:12" ht="15" customHeight="1" x14ac:dyDescent="0.3">
      <c r="A203" s="505"/>
      <c r="B203" s="164"/>
      <c r="C203" s="165"/>
      <c r="D203" s="165"/>
      <c r="E203" s="165"/>
      <c r="F203" s="174"/>
      <c r="G203" s="174"/>
      <c r="H203" s="174"/>
      <c r="I203" s="174"/>
      <c r="J203" s="174"/>
      <c r="K203" s="174"/>
      <c r="L203" s="174"/>
    </row>
    <row r="204" spans="1:12" s="184" customFormat="1" ht="16.2" thickBot="1" x14ac:dyDescent="0.35">
      <c r="A204" s="503"/>
      <c r="B204" s="524" t="s">
        <v>476</v>
      </c>
      <c r="C204" s="504"/>
      <c r="D204" s="504"/>
      <c r="E204" s="504"/>
      <c r="F204" s="262">
        <f>F52+F106+F136+F202</f>
        <v>1011167.60828</v>
      </c>
      <c r="G204" s="262">
        <f t="shared" ref="G204:L204" si="30">G52+G106+G136+G202</f>
        <v>993545.32759</v>
      </c>
      <c r="H204" s="262">
        <f t="shared" si="30"/>
        <v>1048453.58946</v>
      </c>
      <c r="I204" s="262">
        <f t="shared" si="30"/>
        <v>1139277.598007536</v>
      </c>
      <c r="J204" s="262">
        <f t="shared" si="30"/>
        <v>0</v>
      </c>
      <c r="K204" s="262">
        <f t="shared" si="30"/>
        <v>1188835.3478032998</v>
      </c>
      <c r="L204" s="262">
        <f t="shared" si="30"/>
        <v>1143048.4762918579</v>
      </c>
    </row>
    <row r="205" spans="1:12" s="184" customFormat="1" ht="18" customHeight="1" thickTop="1" x14ac:dyDescent="0.3">
      <c r="B205" s="548"/>
      <c r="C205" s="549"/>
      <c r="D205" s="550"/>
      <c r="E205" s="426"/>
      <c r="F205" s="263"/>
      <c r="G205" s="263"/>
      <c r="H205" s="263"/>
      <c r="I205" s="263"/>
      <c r="J205" s="263"/>
      <c r="K205" s="263"/>
      <c r="L205" s="263"/>
    </row>
    <row r="206" spans="1:12" s="184" customFormat="1" ht="15.45" customHeight="1" x14ac:dyDescent="0.3">
      <c r="B206" s="181" t="s">
        <v>483</v>
      </c>
      <c r="C206" s="182"/>
      <c r="D206" s="182"/>
      <c r="E206" s="182"/>
      <c r="F206" s="183">
        <f>F38-F204</f>
        <v>170734.13171999995</v>
      </c>
      <c r="G206" s="183">
        <f t="shared" ref="G206:I206" si="31">G38-G204</f>
        <v>216060.01740999997</v>
      </c>
      <c r="H206" s="183">
        <f t="shared" si="31"/>
        <v>244643.24054000003</v>
      </c>
      <c r="I206" s="183">
        <f t="shared" si="31"/>
        <v>186013.07988046389</v>
      </c>
      <c r="J206" s="183"/>
      <c r="K206" s="183">
        <f t="shared" ref="K206:L206" si="32">K38-K204</f>
        <v>149998.42579670018</v>
      </c>
      <c r="L206" s="183">
        <f t="shared" si="32"/>
        <v>237876.64825214213</v>
      </c>
    </row>
    <row r="207" spans="1:12" s="184" customFormat="1" ht="15.45" customHeight="1" x14ac:dyDescent="0.3">
      <c r="B207" s="181"/>
      <c r="C207" s="182"/>
      <c r="D207" s="182"/>
      <c r="E207" s="182"/>
      <c r="F207" s="183"/>
      <c r="G207" s="183"/>
      <c r="H207" s="183"/>
      <c r="I207" s="183"/>
      <c r="J207" s="183"/>
      <c r="K207" s="183"/>
      <c r="L207" s="183"/>
    </row>
    <row r="208" spans="1:12" s="184" customFormat="1" ht="15.45" customHeight="1" x14ac:dyDescent="0.3">
      <c r="B208" s="181"/>
      <c r="C208" s="182"/>
      <c r="D208" s="182"/>
      <c r="E208" s="182"/>
      <c r="F208" s="183"/>
      <c r="G208" s="183"/>
      <c r="H208" s="183"/>
      <c r="I208" s="183"/>
      <c r="J208" s="183"/>
      <c r="K208" s="183"/>
      <c r="L208" s="183"/>
    </row>
  </sheetData>
  <mergeCells count="2">
    <mergeCell ref="B205:D205"/>
    <mergeCell ref="I2:K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6914B4-0CD9-44EA-9A54-EEFFF1C50A7D}">
  <dimension ref="A3:N39"/>
  <sheetViews>
    <sheetView workbookViewId="0">
      <selection activeCell="L15" sqref="L15"/>
    </sheetView>
  </sheetViews>
  <sheetFormatPr defaultRowHeight="14.4" x14ac:dyDescent="0.3"/>
  <cols>
    <col min="1" max="1" width="4.109375" customWidth="1"/>
    <col min="4" max="4" width="9.5546875" customWidth="1"/>
    <col min="6" max="7" width="13.21875" customWidth="1"/>
    <col min="8" max="8" width="12.77734375" customWidth="1"/>
    <col min="9" max="9" width="14.6640625" customWidth="1"/>
    <col min="10" max="10" width="14.5546875" customWidth="1"/>
    <col min="11" max="11" width="15.109375" customWidth="1"/>
    <col min="12" max="12" width="15.44140625" customWidth="1"/>
  </cols>
  <sheetData>
    <row r="3" spans="1:14" s="134" customFormat="1" ht="16.2" thickBot="1" x14ac:dyDescent="0.35">
      <c r="F3" s="346" t="s">
        <v>272</v>
      </c>
      <c r="G3" s="346" t="s">
        <v>271</v>
      </c>
      <c r="H3" s="346" t="s">
        <v>270</v>
      </c>
      <c r="I3" s="546" t="s">
        <v>268</v>
      </c>
      <c r="J3" s="546"/>
      <c r="K3" s="546"/>
      <c r="L3" s="347" t="s">
        <v>269</v>
      </c>
    </row>
    <row r="4" spans="1:14" s="134" customFormat="1" ht="42.6" customHeight="1" thickBot="1" x14ac:dyDescent="0.45">
      <c r="B4" s="234"/>
      <c r="C4" s="235"/>
      <c r="D4" s="235"/>
      <c r="E4" s="235"/>
      <c r="F4" s="348" t="s">
        <v>265</v>
      </c>
      <c r="G4" s="348" t="s">
        <v>73</v>
      </c>
      <c r="H4" s="348" t="s">
        <v>74</v>
      </c>
      <c r="I4" s="349" t="s">
        <v>75</v>
      </c>
      <c r="J4" s="349" t="s">
        <v>75</v>
      </c>
      <c r="K4" s="349" t="s">
        <v>75</v>
      </c>
      <c r="L4" s="349" t="s">
        <v>266</v>
      </c>
      <c r="N4" s="48"/>
    </row>
    <row r="5" spans="1:14" s="134" customFormat="1" ht="18" customHeight="1" x14ac:dyDescent="0.3">
      <c r="B5" s="236"/>
      <c r="C5" s="236"/>
      <c r="D5" s="236"/>
      <c r="E5" s="236"/>
      <c r="F5" s="237" t="s">
        <v>76</v>
      </c>
      <c r="G5" s="237" t="s">
        <v>76</v>
      </c>
      <c r="H5" s="237" t="s">
        <v>76</v>
      </c>
      <c r="I5" s="237" t="s">
        <v>213</v>
      </c>
      <c r="J5" s="237" t="s">
        <v>273</v>
      </c>
      <c r="K5" s="237" t="s">
        <v>216</v>
      </c>
      <c r="L5" s="237" t="s">
        <v>278</v>
      </c>
      <c r="N5" s="238"/>
    </row>
    <row r="6" spans="1:14" s="134" customFormat="1" ht="47.4" thickBot="1" x14ac:dyDescent="0.35">
      <c r="B6" s="239"/>
      <c r="C6" s="239"/>
      <c r="D6" s="239"/>
      <c r="E6" s="239"/>
      <c r="F6" s="240" t="s">
        <v>212</v>
      </c>
      <c r="G6" s="240" t="s">
        <v>214</v>
      </c>
      <c r="H6" s="240" t="s">
        <v>264</v>
      </c>
      <c r="I6" s="240" t="s">
        <v>215</v>
      </c>
      <c r="J6" s="240" t="s">
        <v>263</v>
      </c>
      <c r="K6" s="240" t="s">
        <v>263</v>
      </c>
      <c r="L6" s="240" t="s">
        <v>262</v>
      </c>
      <c r="N6" s="241"/>
    </row>
    <row r="7" spans="1:14" ht="21" thickTop="1" x14ac:dyDescent="0.35">
      <c r="A7" s="234" t="s">
        <v>490</v>
      </c>
    </row>
    <row r="9" spans="1:14" s="134" customFormat="1" ht="15.6" x14ac:dyDescent="0.3">
      <c r="A9" s="514"/>
      <c r="B9" s="520" t="s">
        <v>39</v>
      </c>
      <c r="C9" s="515"/>
      <c r="D9" s="515"/>
      <c r="E9" s="250"/>
      <c r="F9" s="251"/>
      <c r="G9" s="251"/>
      <c r="H9" s="252"/>
      <c r="I9" s="252"/>
      <c r="J9" s="252"/>
      <c r="K9" s="252"/>
      <c r="L9" s="252"/>
    </row>
    <row r="10" spans="1:14" ht="15.6" x14ac:dyDescent="0.3">
      <c r="A10" s="514"/>
      <c r="B10" s="525" t="s">
        <v>485</v>
      </c>
    </row>
    <row r="11" spans="1:14" ht="15.6" x14ac:dyDescent="0.3">
      <c r="A11" s="514"/>
      <c r="B11" s="526" t="s">
        <v>487</v>
      </c>
      <c r="F11" s="174">
        <v>1800</v>
      </c>
      <c r="G11" s="174">
        <v>1800</v>
      </c>
      <c r="H11" s="174">
        <v>1800</v>
      </c>
      <c r="I11" s="174">
        <v>1800</v>
      </c>
      <c r="J11" s="174"/>
      <c r="K11" s="174">
        <v>1800</v>
      </c>
      <c r="L11" s="174">
        <v>1800</v>
      </c>
    </row>
    <row r="12" spans="1:14" ht="15.6" x14ac:dyDescent="0.3">
      <c r="A12" s="514"/>
      <c r="B12" s="526" t="s">
        <v>488</v>
      </c>
      <c r="F12" s="174">
        <v>2000</v>
      </c>
      <c r="G12" s="174">
        <v>2500</v>
      </c>
      <c r="H12" s="174">
        <v>1500</v>
      </c>
      <c r="I12" s="174">
        <v>3000</v>
      </c>
      <c r="J12" s="174"/>
      <c r="K12" s="174">
        <v>3000</v>
      </c>
      <c r="L12" s="174">
        <v>2500</v>
      </c>
    </row>
    <row r="13" spans="1:14" ht="15.6" x14ac:dyDescent="0.3">
      <c r="A13" s="514"/>
      <c r="B13" s="526" t="s">
        <v>489</v>
      </c>
      <c r="F13" s="174">
        <v>1750</v>
      </c>
      <c r="G13" s="174">
        <v>1500</v>
      </c>
      <c r="H13" s="174">
        <v>1400</v>
      </c>
      <c r="I13" s="174">
        <v>1350</v>
      </c>
      <c r="J13" s="174"/>
      <c r="K13" s="174">
        <v>1200</v>
      </c>
      <c r="L13" s="174">
        <v>1000</v>
      </c>
    </row>
    <row r="14" spans="1:14" ht="15.6" x14ac:dyDescent="0.3">
      <c r="A14" s="514"/>
      <c r="B14" s="525" t="s">
        <v>486</v>
      </c>
      <c r="F14" s="174">
        <v>0</v>
      </c>
      <c r="G14" s="174">
        <v>0</v>
      </c>
      <c r="H14" s="174">
        <v>0</v>
      </c>
      <c r="I14" s="174">
        <v>0</v>
      </c>
      <c r="J14" s="174"/>
      <c r="K14" s="174">
        <v>0</v>
      </c>
      <c r="L14" s="174">
        <v>600</v>
      </c>
    </row>
    <row r="15" spans="1:14" ht="15.6" x14ac:dyDescent="0.3">
      <c r="A15" s="514"/>
      <c r="B15" s="525" t="s">
        <v>495</v>
      </c>
      <c r="F15" s="174">
        <v>12000</v>
      </c>
      <c r="G15" s="174">
        <v>8400</v>
      </c>
      <c r="H15" s="174">
        <v>4800</v>
      </c>
      <c r="I15" s="174">
        <v>6500</v>
      </c>
      <c r="J15" s="174"/>
      <c r="K15" s="174">
        <v>6500</v>
      </c>
      <c r="L15" s="174">
        <v>14000</v>
      </c>
    </row>
    <row r="16" spans="1:14" ht="15.6" x14ac:dyDescent="0.3">
      <c r="A16" s="514"/>
      <c r="B16" s="525" t="s">
        <v>494</v>
      </c>
      <c r="F16" s="174">
        <v>0</v>
      </c>
      <c r="G16" s="174">
        <v>0</v>
      </c>
      <c r="H16" s="174">
        <v>0</v>
      </c>
      <c r="I16" s="174">
        <v>0</v>
      </c>
      <c r="J16" s="174"/>
      <c r="K16" s="174">
        <v>0</v>
      </c>
      <c r="L16" s="174">
        <v>0</v>
      </c>
    </row>
    <row r="17" spans="1:12" ht="15.6" x14ac:dyDescent="0.3">
      <c r="A17" s="517"/>
      <c r="B17" s="519" t="s">
        <v>80</v>
      </c>
      <c r="C17" s="518"/>
      <c r="D17" s="518"/>
      <c r="F17" s="174">
        <f>SUM(F11:F16)</f>
        <v>17550</v>
      </c>
      <c r="G17" s="174">
        <f t="shared" ref="G17:L17" si="0">SUM(G11:G16)</f>
        <v>14200</v>
      </c>
      <c r="H17" s="174">
        <f t="shared" si="0"/>
        <v>9500</v>
      </c>
      <c r="I17" s="174">
        <f t="shared" si="0"/>
        <v>12650</v>
      </c>
      <c r="J17" s="174"/>
      <c r="K17" s="174">
        <f t="shared" si="0"/>
        <v>12500</v>
      </c>
      <c r="L17" s="174">
        <f t="shared" si="0"/>
        <v>19900</v>
      </c>
    </row>
    <row r="19" spans="1:12" ht="15" thickBot="1" x14ac:dyDescent="0.35"/>
    <row r="20" spans="1:12" ht="16.2" thickBot="1" x14ac:dyDescent="0.35">
      <c r="A20" s="505"/>
      <c r="B20" s="513" t="s">
        <v>384</v>
      </c>
      <c r="C20" s="512"/>
      <c r="D20" s="512"/>
    </row>
    <row r="21" spans="1:12" ht="15.6" x14ac:dyDescent="0.3">
      <c r="A21" s="505"/>
      <c r="B21" s="525" t="s">
        <v>491</v>
      </c>
      <c r="F21" s="174"/>
      <c r="G21" s="174"/>
      <c r="H21" s="174"/>
      <c r="I21" s="174"/>
      <c r="J21" s="174"/>
      <c r="K21" s="174"/>
      <c r="L21" s="174"/>
    </row>
    <row r="22" spans="1:12" ht="15.6" x14ac:dyDescent="0.3">
      <c r="A22" s="505"/>
      <c r="B22" s="526" t="s">
        <v>496</v>
      </c>
      <c r="F22" s="174">
        <v>0</v>
      </c>
      <c r="G22" s="174">
        <v>0</v>
      </c>
      <c r="H22" s="174">
        <v>750</v>
      </c>
      <c r="I22" s="174">
        <v>0</v>
      </c>
      <c r="J22" s="174"/>
      <c r="K22" s="174">
        <v>0</v>
      </c>
      <c r="L22" s="174">
        <v>0</v>
      </c>
    </row>
    <row r="23" spans="1:12" ht="15.6" x14ac:dyDescent="0.3">
      <c r="A23" s="505"/>
      <c r="B23" t="s">
        <v>497</v>
      </c>
      <c r="F23" s="174"/>
      <c r="G23" s="174"/>
      <c r="H23" s="174"/>
      <c r="I23" s="174"/>
      <c r="J23" s="174"/>
      <c r="K23" s="174"/>
      <c r="L23" s="174"/>
    </row>
    <row r="24" spans="1:12" ht="15.6" x14ac:dyDescent="0.3">
      <c r="A24" s="505"/>
      <c r="B24" s="525" t="s">
        <v>462</v>
      </c>
      <c r="F24" s="174"/>
      <c r="G24" s="174"/>
      <c r="H24" s="174"/>
      <c r="I24" s="174"/>
      <c r="J24" s="174"/>
      <c r="K24" s="174"/>
      <c r="L24" s="174"/>
    </row>
    <row r="25" spans="1:12" ht="15.6" x14ac:dyDescent="0.3">
      <c r="A25" s="505"/>
      <c r="B25" s="526" t="s">
        <v>500</v>
      </c>
      <c r="F25" s="174">
        <v>0</v>
      </c>
      <c r="G25" s="174">
        <v>0</v>
      </c>
      <c r="H25" s="174">
        <v>0</v>
      </c>
      <c r="I25" s="174">
        <v>0</v>
      </c>
      <c r="J25" s="174"/>
      <c r="K25" s="174">
        <v>0</v>
      </c>
      <c r="L25" s="174">
        <v>250</v>
      </c>
    </row>
    <row r="26" spans="1:12" ht="15.6" x14ac:dyDescent="0.3">
      <c r="A26" s="505"/>
      <c r="B26" s="526" t="s">
        <v>498</v>
      </c>
      <c r="F26" s="174">
        <v>0</v>
      </c>
      <c r="G26" s="174">
        <v>0</v>
      </c>
      <c r="H26" s="174">
        <v>0</v>
      </c>
      <c r="I26" s="174">
        <v>450</v>
      </c>
      <c r="J26" s="174"/>
      <c r="K26" s="174">
        <v>450</v>
      </c>
      <c r="L26" s="174">
        <v>0</v>
      </c>
    </row>
    <row r="27" spans="1:12" ht="16.8" customHeight="1" x14ac:dyDescent="0.3">
      <c r="A27" s="505"/>
      <c r="B27" s="525" t="s">
        <v>492</v>
      </c>
      <c r="F27" s="174"/>
      <c r="G27" s="174"/>
      <c r="H27" s="174"/>
      <c r="I27" s="174"/>
      <c r="J27" s="174"/>
      <c r="K27" s="174"/>
      <c r="L27" s="174"/>
    </row>
    <row r="28" spans="1:12" ht="16.8" customHeight="1" x14ac:dyDescent="0.3">
      <c r="A28" s="505"/>
      <c r="B28" s="526" t="s">
        <v>501</v>
      </c>
      <c r="F28" s="174">
        <v>0</v>
      </c>
      <c r="G28" s="174">
        <v>0</v>
      </c>
      <c r="H28" s="174">
        <v>0</v>
      </c>
      <c r="I28" s="174">
        <v>4200</v>
      </c>
      <c r="J28" s="174"/>
      <c r="K28" s="174">
        <v>4200</v>
      </c>
      <c r="L28" s="174">
        <v>33000</v>
      </c>
    </row>
    <row r="29" spans="1:12" ht="16.8" customHeight="1" x14ac:dyDescent="0.3">
      <c r="A29" s="505"/>
      <c r="B29" s="526" t="s">
        <v>502</v>
      </c>
      <c r="F29" s="174">
        <v>0</v>
      </c>
      <c r="G29" s="174"/>
      <c r="H29" s="174"/>
      <c r="I29" s="174"/>
      <c r="J29" s="174"/>
      <c r="K29" s="174"/>
      <c r="L29" s="174"/>
    </row>
    <row r="30" spans="1:12" ht="15.6" x14ac:dyDescent="0.3">
      <c r="A30" s="505"/>
      <c r="B30" s="526" t="s">
        <v>503</v>
      </c>
      <c r="F30" s="174">
        <v>0</v>
      </c>
      <c r="G30" s="174"/>
      <c r="H30" s="174"/>
      <c r="I30" s="174"/>
      <c r="J30" s="174"/>
      <c r="K30" s="174"/>
      <c r="L30" s="174"/>
    </row>
    <row r="31" spans="1:12" ht="15.6" x14ac:dyDescent="0.3">
      <c r="A31" s="505"/>
      <c r="B31" s="525" t="s">
        <v>493</v>
      </c>
      <c r="F31" s="174"/>
      <c r="G31" s="174"/>
      <c r="H31" s="174"/>
      <c r="I31" s="174"/>
      <c r="J31" s="174"/>
      <c r="K31" s="174"/>
      <c r="L31" s="174"/>
    </row>
    <row r="32" spans="1:12" ht="15.6" x14ac:dyDescent="0.3">
      <c r="A32" s="505"/>
      <c r="B32" s="526" t="s">
        <v>499</v>
      </c>
      <c r="F32" s="174">
        <v>12000</v>
      </c>
      <c r="G32" s="174">
        <v>10000</v>
      </c>
      <c r="H32" s="174">
        <v>0</v>
      </c>
      <c r="I32" s="174">
        <v>13000</v>
      </c>
      <c r="J32" s="174"/>
      <c r="K32" s="174">
        <v>13000</v>
      </c>
      <c r="L32" s="174">
        <v>0</v>
      </c>
    </row>
    <row r="33" spans="1:12" ht="15.6" x14ac:dyDescent="0.3">
      <c r="A33" s="505"/>
      <c r="B33" s="526" t="s">
        <v>499</v>
      </c>
      <c r="F33" s="174"/>
      <c r="G33" s="174"/>
      <c r="H33" s="174"/>
      <c r="I33" s="174"/>
      <c r="J33" s="174"/>
      <c r="K33" s="174"/>
      <c r="L33" s="174"/>
    </row>
    <row r="34" spans="1:12" ht="15.6" x14ac:dyDescent="0.3">
      <c r="A34" s="505"/>
      <c r="B34" s="526" t="s">
        <v>499</v>
      </c>
      <c r="F34" s="174"/>
      <c r="G34" s="174"/>
      <c r="H34" s="174"/>
      <c r="I34" s="174"/>
      <c r="J34" s="174"/>
      <c r="K34" s="174"/>
      <c r="L34" s="174"/>
    </row>
    <row r="35" spans="1:12" ht="15.6" x14ac:dyDescent="0.3">
      <c r="A35" s="505"/>
      <c r="B35" s="526" t="s">
        <v>499</v>
      </c>
      <c r="F35" s="174"/>
      <c r="G35" s="174"/>
      <c r="H35" s="174"/>
      <c r="I35" s="174"/>
      <c r="J35" s="174"/>
      <c r="K35" s="174"/>
      <c r="L35" s="174"/>
    </row>
    <row r="36" spans="1:12" ht="15.6" x14ac:dyDescent="0.3">
      <c r="A36" s="505"/>
      <c r="F36" s="174"/>
      <c r="G36" s="174"/>
      <c r="H36" s="174"/>
      <c r="I36" s="174"/>
      <c r="J36" s="174"/>
      <c r="K36" s="174"/>
      <c r="L36" s="174"/>
    </row>
    <row r="37" spans="1:12" ht="15.6" x14ac:dyDescent="0.3">
      <c r="A37" s="503"/>
      <c r="B37" s="524" t="s">
        <v>476</v>
      </c>
      <c r="C37" s="504"/>
      <c r="D37" s="504"/>
      <c r="F37" s="174">
        <f>SUM(F22:F35)</f>
        <v>12000</v>
      </c>
      <c r="G37" s="174">
        <f t="shared" ref="G37:L37" si="1">SUM(G22:G35)</f>
        <v>10000</v>
      </c>
      <c r="H37" s="174">
        <f t="shared" si="1"/>
        <v>750</v>
      </c>
      <c r="I37" s="174">
        <f t="shared" si="1"/>
        <v>17650</v>
      </c>
      <c r="J37" s="174">
        <f t="shared" si="1"/>
        <v>0</v>
      </c>
      <c r="K37" s="174">
        <f t="shared" si="1"/>
        <v>17650</v>
      </c>
      <c r="L37" s="174">
        <f t="shared" si="1"/>
        <v>33250</v>
      </c>
    </row>
    <row r="38" spans="1:12" ht="15.6" x14ac:dyDescent="0.3">
      <c r="F38" s="174"/>
      <c r="G38" s="174"/>
      <c r="H38" s="174"/>
      <c r="I38" s="174"/>
      <c r="J38" s="174"/>
      <c r="K38" s="174"/>
      <c r="L38" s="174"/>
    </row>
    <row r="39" spans="1:12" ht="17.399999999999999" x14ac:dyDescent="0.3">
      <c r="B39" s="537" t="s">
        <v>534</v>
      </c>
      <c r="F39" s="174">
        <f>F17-F37</f>
        <v>5550</v>
      </c>
      <c r="G39" s="174">
        <f t="shared" ref="G39:L39" si="2">G17-G37</f>
        <v>4200</v>
      </c>
      <c r="H39" s="174">
        <f t="shared" si="2"/>
        <v>8750</v>
      </c>
      <c r="I39" s="174">
        <f t="shared" si="2"/>
        <v>-5000</v>
      </c>
      <c r="J39" s="174">
        <f t="shared" si="2"/>
        <v>0</v>
      </c>
      <c r="K39" s="174">
        <f t="shared" si="2"/>
        <v>-5150</v>
      </c>
      <c r="L39" s="174">
        <f t="shared" si="2"/>
        <v>-13350</v>
      </c>
    </row>
  </sheetData>
  <mergeCells count="1">
    <mergeCell ref="I3:K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N48"/>
  <sheetViews>
    <sheetView topLeftCell="A29" zoomScale="90" zoomScaleNormal="90" workbookViewId="0">
      <selection activeCell="I34" sqref="I34"/>
    </sheetView>
  </sheetViews>
  <sheetFormatPr defaultRowHeight="14.4" x14ac:dyDescent="0.3"/>
  <cols>
    <col min="1" max="1" width="18" style="4" customWidth="1"/>
    <col min="2" max="2" width="16.109375" customWidth="1"/>
    <col min="3" max="3" width="17" style="2" bestFit="1" customWidth="1"/>
    <col min="4" max="5" width="17" style="2" customWidth="1"/>
    <col min="6" max="6" width="22.44140625" style="2" customWidth="1"/>
    <col min="7" max="7" width="19.6640625" style="2" customWidth="1"/>
    <col min="8" max="8" width="18.109375" style="2" customWidth="1"/>
    <col min="9" max="9" width="15.6640625" customWidth="1"/>
    <col min="12" max="14" width="9.109375" style="2"/>
  </cols>
  <sheetData>
    <row r="1" spans="1:14" s="90" customFormat="1" ht="15.6" hidden="1" x14ac:dyDescent="0.3">
      <c r="A1" s="88">
        <v>42249</v>
      </c>
      <c r="B1" s="89"/>
      <c r="C1" s="89"/>
      <c r="D1" s="89"/>
      <c r="E1" s="89"/>
      <c r="F1" s="89" t="s">
        <v>46</v>
      </c>
      <c r="G1" s="89">
        <f xml:space="preserve"> (D4+D5)*1.1</f>
        <v>1045</v>
      </c>
      <c r="H1" s="89">
        <f xml:space="preserve"> G1*1.1</f>
        <v>1149.5</v>
      </c>
      <c r="I1" s="90">
        <f xml:space="preserve"> H1*1.1</f>
        <v>1264.45</v>
      </c>
      <c r="L1" s="91"/>
      <c r="M1" s="91"/>
      <c r="N1" s="91"/>
    </row>
    <row r="2" spans="1:14" s="90" customFormat="1" ht="15.6" hidden="1" x14ac:dyDescent="0.3">
      <c r="A2" s="88"/>
      <c r="B2" s="89"/>
      <c r="C2" s="89"/>
      <c r="D2" s="89"/>
      <c r="E2" s="89"/>
      <c r="F2" s="89" t="s">
        <v>47</v>
      </c>
      <c r="G2" s="92">
        <f xml:space="preserve"> G1/6</f>
        <v>174.16666666666666</v>
      </c>
      <c r="H2" s="92">
        <f t="shared" ref="H2:I2" si="0" xml:space="preserve"> H1/6</f>
        <v>191.58333333333334</v>
      </c>
      <c r="I2" s="93">
        <f t="shared" si="0"/>
        <v>210.74166666666667</v>
      </c>
      <c r="L2" s="91"/>
      <c r="M2" s="91"/>
      <c r="N2" s="91"/>
    </row>
    <row r="3" spans="1:14" s="90" customFormat="1" ht="15.6" hidden="1" x14ac:dyDescent="0.3">
      <c r="A3" s="94" t="s">
        <v>40</v>
      </c>
      <c r="B3" s="95" t="s">
        <v>41</v>
      </c>
      <c r="C3" s="95" t="s">
        <v>42</v>
      </c>
      <c r="D3" s="95" t="s">
        <v>43</v>
      </c>
      <c r="E3" s="95"/>
      <c r="F3" s="95">
        <v>2015</v>
      </c>
      <c r="G3" s="95">
        <v>2016</v>
      </c>
      <c r="H3" s="95">
        <v>2017</v>
      </c>
      <c r="I3" s="96">
        <v>2018</v>
      </c>
      <c r="L3" s="91"/>
      <c r="M3" s="91"/>
      <c r="N3" s="91"/>
    </row>
    <row r="4" spans="1:14" s="90" customFormat="1" ht="15.6" hidden="1" x14ac:dyDescent="0.3">
      <c r="A4" s="97">
        <v>150</v>
      </c>
      <c r="B4" s="89">
        <v>6</v>
      </c>
      <c r="C4" s="89">
        <v>905</v>
      </c>
      <c r="D4" s="89">
        <f>A4*B4</f>
        <v>900</v>
      </c>
      <c r="E4" s="89"/>
      <c r="F4" s="92">
        <f>PRODUCT(A4:C4)</f>
        <v>814500</v>
      </c>
      <c r="G4" s="92">
        <f xml:space="preserve"> F4*1.1</f>
        <v>895950.00000000012</v>
      </c>
      <c r="H4" s="92">
        <f t="shared" ref="H4:I5" si="1" xml:space="preserve"> G4*1.2</f>
        <v>1075140</v>
      </c>
      <c r="I4" s="93">
        <f t="shared" si="1"/>
        <v>1290168</v>
      </c>
      <c r="L4" s="91"/>
      <c r="M4" s="91"/>
      <c r="N4" s="91"/>
    </row>
    <row r="5" spans="1:14" s="90" customFormat="1" ht="15.6" hidden="1" x14ac:dyDescent="0.3">
      <c r="A5" s="97">
        <v>25</v>
      </c>
      <c r="B5" s="89">
        <v>2</v>
      </c>
      <c r="C5" s="89">
        <v>905</v>
      </c>
      <c r="D5" s="89">
        <f>A5*B5</f>
        <v>50</v>
      </c>
      <c r="E5" s="89"/>
      <c r="F5" s="92">
        <f>PRODUCT(A5:C5)</f>
        <v>45250</v>
      </c>
      <c r="G5" s="92">
        <f xml:space="preserve"> F5*1.1</f>
        <v>49775.000000000007</v>
      </c>
      <c r="H5" s="92">
        <f t="shared" si="1"/>
        <v>59730.000000000007</v>
      </c>
      <c r="I5" s="93">
        <f t="shared" si="1"/>
        <v>71676</v>
      </c>
      <c r="L5" s="91"/>
      <c r="M5" s="91"/>
      <c r="N5" s="91"/>
    </row>
    <row r="6" spans="1:14" s="90" customFormat="1" ht="15.6" hidden="1" x14ac:dyDescent="0.3">
      <c r="A6" s="97">
        <v>210</v>
      </c>
      <c r="B6" s="89">
        <v>4</v>
      </c>
      <c r="C6" s="89">
        <v>895</v>
      </c>
      <c r="D6" s="89">
        <f>A6*B6</f>
        <v>840</v>
      </c>
      <c r="E6" s="89"/>
      <c r="F6" s="92">
        <f>PRODUCT(A6:C6)</f>
        <v>751800</v>
      </c>
      <c r="G6" s="92"/>
      <c r="H6" s="92"/>
      <c r="I6" s="93"/>
      <c r="L6" s="91"/>
      <c r="M6" s="91"/>
      <c r="N6" s="91"/>
    </row>
    <row r="7" spans="1:14" s="90" customFormat="1" ht="15.6" x14ac:dyDescent="0.3">
      <c r="A7" s="98" t="s">
        <v>70</v>
      </c>
      <c r="B7" s="89"/>
      <c r="C7" s="89"/>
      <c r="D7" s="89"/>
      <c r="E7" s="89"/>
      <c r="F7" s="92"/>
      <c r="G7" s="92"/>
      <c r="H7" s="92"/>
      <c r="I7" s="93"/>
      <c r="L7" s="91"/>
      <c r="M7" s="91"/>
      <c r="N7" s="91"/>
    </row>
    <row r="8" spans="1:14" s="90" customFormat="1" ht="16.2" thickBot="1" x14ac:dyDescent="0.35">
      <c r="A8" s="97" t="s">
        <v>220</v>
      </c>
      <c r="B8" s="89"/>
      <c r="C8" s="89"/>
      <c r="D8" s="89"/>
      <c r="E8" s="89"/>
      <c r="F8" s="92"/>
      <c r="G8" s="92"/>
      <c r="H8" s="92"/>
      <c r="I8" s="93"/>
      <c r="L8" s="91"/>
      <c r="M8" s="91"/>
      <c r="N8" s="91"/>
    </row>
    <row r="9" spans="1:14" s="90" customFormat="1" ht="15.6" x14ac:dyDescent="0.3">
      <c r="A9" s="271"/>
      <c r="B9" s="272" t="s">
        <v>243</v>
      </c>
      <c r="C9" s="272" t="s">
        <v>244</v>
      </c>
      <c r="D9" s="273" t="s">
        <v>245</v>
      </c>
      <c r="E9" s="281"/>
      <c r="F9" s="272" t="s">
        <v>243</v>
      </c>
      <c r="G9" s="272" t="s">
        <v>244</v>
      </c>
      <c r="H9" s="273" t="s">
        <v>245</v>
      </c>
      <c r="I9" s="93"/>
      <c r="L9" s="91"/>
      <c r="M9" s="91"/>
      <c r="N9" s="91"/>
    </row>
    <row r="10" spans="1:14" s="90" customFormat="1" ht="15.6" x14ac:dyDescent="0.3">
      <c r="A10" s="274" t="s">
        <v>233</v>
      </c>
      <c r="B10" s="275">
        <v>4</v>
      </c>
      <c r="C10" s="275">
        <v>4</v>
      </c>
      <c r="D10" s="276"/>
      <c r="E10" s="277" t="s">
        <v>231</v>
      </c>
      <c r="F10" s="275">
        <v>7</v>
      </c>
      <c r="G10" s="275">
        <v>7</v>
      </c>
      <c r="H10" s="276"/>
      <c r="I10" s="93"/>
      <c r="L10" s="91"/>
      <c r="M10" s="91"/>
      <c r="N10" s="91"/>
    </row>
    <row r="11" spans="1:14" s="90" customFormat="1" ht="15.6" x14ac:dyDescent="0.3">
      <c r="A11" s="274" t="s">
        <v>234</v>
      </c>
      <c r="B11" s="275">
        <v>6</v>
      </c>
      <c r="C11" s="275">
        <v>6</v>
      </c>
      <c r="D11" s="276"/>
      <c r="E11" s="277" t="s">
        <v>232</v>
      </c>
      <c r="F11" s="275">
        <v>4</v>
      </c>
      <c r="G11" s="275">
        <v>4</v>
      </c>
      <c r="H11" s="276"/>
      <c r="I11" s="93"/>
      <c r="L11" s="91"/>
      <c r="M11" s="91"/>
      <c r="N11" s="91"/>
    </row>
    <row r="12" spans="1:14" s="90" customFormat="1" ht="15.6" x14ac:dyDescent="0.3">
      <c r="A12" s="277" t="s">
        <v>221</v>
      </c>
      <c r="B12" s="275">
        <v>7</v>
      </c>
      <c r="C12" s="275">
        <v>6</v>
      </c>
      <c r="D12" s="276"/>
      <c r="E12" s="277" t="s">
        <v>235</v>
      </c>
      <c r="F12" s="275">
        <v>6</v>
      </c>
      <c r="G12" s="275">
        <v>6</v>
      </c>
      <c r="H12" s="276"/>
      <c r="I12" s="93"/>
      <c r="L12" s="91"/>
      <c r="M12" s="91"/>
      <c r="N12" s="91"/>
    </row>
    <row r="13" spans="1:14" s="90" customFormat="1" ht="15.6" x14ac:dyDescent="0.3">
      <c r="A13" s="277" t="s">
        <v>222</v>
      </c>
      <c r="B13" s="275">
        <v>7</v>
      </c>
      <c r="C13" s="275">
        <v>6</v>
      </c>
      <c r="D13" s="276"/>
      <c r="E13" s="277" t="s">
        <v>236</v>
      </c>
      <c r="F13" s="275">
        <v>6</v>
      </c>
      <c r="G13" s="275">
        <v>6</v>
      </c>
      <c r="H13" s="276"/>
      <c r="I13" s="93"/>
      <c r="L13" s="91"/>
      <c r="M13" s="91"/>
      <c r="N13" s="91"/>
    </row>
    <row r="14" spans="1:14" s="90" customFormat="1" ht="15.6" x14ac:dyDescent="0.3">
      <c r="A14" s="277" t="s">
        <v>223</v>
      </c>
      <c r="B14" s="275">
        <v>10</v>
      </c>
      <c r="C14" s="275">
        <v>8</v>
      </c>
      <c r="D14" s="276"/>
      <c r="E14" s="277" t="s">
        <v>237</v>
      </c>
      <c r="F14" s="275">
        <v>7</v>
      </c>
      <c r="G14" s="275">
        <v>6</v>
      </c>
      <c r="H14" s="276"/>
      <c r="I14" s="93"/>
      <c r="L14" s="91"/>
      <c r="M14" s="91"/>
      <c r="N14" s="91"/>
    </row>
    <row r="15" spans="1:14" s="90" customFormat="1" ht="15.6" x14ac:dyDescent="0.3">
      <c r="A15" s="277" t="s">
        <v>224</v>
      </c>
      <c r="B15" s="275">
        <v>7</v>
      </c>
      <c r="C15" s="275">
        <v>7</v>
      </c>
      <c r="D15" s="276"/>
      <c r="E15" s="277" t="s">
        <v>238</v>
      </c>
      <c r="F15" s="275">
        <v>7</v>
      </c>
      <c r="G15" s="275">
        <v>6</v>
      </c>
      <c r="H15" s="276"/>
      <c r="I15" s="93"/>
      <c r="L15" s="91"/>
      <c r="M15" s="91"/>
      <c r="N15" s="91"/>
    </row>
    <row r="16" spans="1:14" s="90" customFormat="1" ht="15.6" x14ac:dyDescent="0.3">
      <c r="A16" s="277" t="s">
        <v>225</v>
      </c>
      <c r="B16" s="275">
        <v>8</v>
      </c>
      <c r="C16" s="275">
        <v>6</v>
      </c>
      <c r="D16" s="276"/>
      <c r="E16" s="277" t="s">
        <v>239</v>
      </c>
      <c r="F16" s="275">
        <v>7</v>
      </c>
      <c r="G16" s="275">
        <v>6</v>
      </c>
      <c r="H16" s="276"/>
      <c r="I16" s="93"/>
      <c r="L16" s="91"/>
      <c r="M16" s="91"/>
      <c r="N16" s="91"/>
    </row>
    <row r="17" spans="1:14" s="90" customFormat="1" ht="15.6" x14ac:dyDescent="0.3">
      <c r="A17" s="277" t="s">
        <v>226</v>
      </c>
      <c r="B17" s="275">
        <v>4</v>
      </c>
      <c r="C17" s="275">
        <v>4</v>
      </c>
      <c r="D17" s="276"/>
      <c r="E17" s="277" t="s">
        <v>240</v>
      </c>
      <c r="F17" s="275">
        <v>7</v>
      </c>
      <c r="G17" s="275">
        <v>7</v>
      </c>
      <c r="H17" s="276"/>
      <c r="I17" s="93"/>
      <c r="L17" s="91"/>
      <c r="M17" s="91"/>
      <c r="N17" s="91"/>
    </row>
    <row r="18" spans="1:14" s="90" customFormat="1" ht="15.6" x14ac:dyDescent="0.3">
      <c r="A18" s="277" t="s">
        <v>227</v>
      </c>
      <c r="B18" s="275">
        <v>5</v>
      </c>
      <c r="C18" s="275">
        <v>5</v>
      </c>
      <c r="D18" s="276"/>
      <c r="E18" s="277" t="s">
        <v>241</v>
      </c>
      <c r="F18" s="275">
        <v>8</v>
      </c>
      <c r="G18" s="275">
        <v>8</v>
      </c>
      <c r="H18" s="276"/>
      <c r="I18" s="93"/>
      <c r="L18" s="91"/>
      <c r="M18" s="91"/>
      <c r="N18" s="91"/>
    </row>
    <row r="19" spans="1:14" s="90" customFormat="1" ht="15.6" x14ac:dyDescent="0.3">
      <c r="A19" s="277" t="s">
        <v>228</v>
      </c>
      <c r="B19" s="275">
        <v>5</v>
      </c>
      <c r="C19" s="275">
        <v>5</v>
      </c>
      <c r="D19" s="276"/>
      <c r="E19" s="277" t="s">
        <v>242</v>
      </c>
      <c r="F19" s="275">
        <v>6</v>
      </c>
      <c r="G19" s="275">
        <v>6</v>
      </c>
      <c r="H19" s="276"/>
      <c r="I19" s="93"/>
      <c r="L19" s="91"/>
      <c r="M19" s="91"/>
      <c r="N19" s="91"/>
    </row>
    <row r="20" spans="1:14" s="90" customFormat="1" ht="15.6" x14ac:dyDescent="0.3">
      <c r="A20" s="277" t="s">
        <v>230</v>
      </c>
      <c r="B20" s="275">
        <v>6</v>
      </c>
      <c r="C20" s="275">
        <v>5</v>
      </c>
      <c r="D20" s="276"/>
      <c r="E20" s="282"/>
      <c r="F20" s="275">
        <v>141</v>
      </c>
      <c r="G20" s="275">
        <v>131</v>
      </c>
      <c r="H20" s="276" t="s">
        <v>247</v>
      </c>
      <c r="I20" s="93"/>
      <c r="L20" s="91"/>
      <c r="M20" s="91"/>
      <c r="N20" s="91"/>
    </row>
    <row r="21" spans="1:14" s="90" customFormat="1" ht="16.2" thickBot="1" x14ac:dyDescent="0.35">
      <c r="A21" s="278" t="s">
        <v>229</v>
      </c>
      <c r="B21" s="279">
        <v>7</v>
      </c>
      <c r="C21" s="279">
        <v>7</v>
      </c>
      <c r="D21" s="280"/>
      <c r="E21" s="283" t="s">
        <v>246</v>
      </c>
      <c r="F21" s="279">
        <f>SUM(B10:B21) +SUM(F10:F19)</f>
        <v>141</v>
      </c>
      <c r="G21" s="279">
        <f>SUM(C10:C21) +SUM(G10:G19)</f>
        <v>131</v>
      </c>
      <c r="H21" s="280">
        <f>SUM(D10:D21) +SUM(H10:H19)</f>
        <v>0</v>
      </c>
      <c r="I21" s="93"/>
      <c r="L21" s="91"/>
      <c r="M21" s="91"/>
      <c r="N21" s="91"/>
    </row>
    <row r="22" spans="1:14" s="90" customFormat="1" ht="15.6" x14ac:dyDescent="0.3">
      <c r="A22" s="97"/>
      <c r="B22" s="89"/>
      <c r="C22" s="89"/>
      <c r="D22" s="89"/>
      <c r="E22" s="89"/>
      <c r="F22" s="92"/>
      <c r="G22" s="92"/>
      <c r="H22" s="92"/>
      <c r="I22" s="93"/>
      <c r="L22" s="91"/>
      <c r="M22" s="91"/>
      <c r="N22" s="91"/>
    </row>
    <row r="23" spans="1:14" s="90" customFormat="1" ht="15.6" x14ac:dyDescent="0.3">
      <c r="A23" s="97"/>
      <c r="B23" s="89"/>
      <c r="C23" s="89"/>
      <c r="D23" s="89"/>
      <c r="E23" s="89"/>
      <c r="F23" s="92"/>
      <c r="G23" s="92"/>
      <c r="H23" s="92"/>
      <c r="I23" s="93"/>
      <c r="L23" s="91"/>
      <c r="M23" s="91"/>
      <c r="N23" s="91"/>
    </row>
    <row r="24" spans="1:14" s="90" customFormat="1" ht="15.6" x14ac:dyDescent="0.3">
      <c r="A24" s="99" t="s">
        <v>451</v>
      </c>
      <c r="B24" s="100"/>
      <c r="C24" s="101" t="s">
        <v>71</v>
      </c>
      <c r="D24" s="101" t="s">
        <v>41</v>
      </c>
      <c r="E24" s="102" t="s">
        <v>46</v>
      </c>
      <c r="F24" s="89"/>
      <c r="G24" s="89"/>
      <c r="H24" s="89"/>
      <c r="I24" s="91"/>
      <c r="L24" s="91"/>
      <c r="M24" s="91"/>
      <c r="N24" s="91"/>
    </row>
    <row r="25" spans="1:14" s="90" customFormat="1" ht="15.6" x14ac:dyDescent="0.3">
      <c r="A25" s="97" t="s">
        <v>446</v>
      </c>
      <c r="B25" s="103"/>
      <c r="C25" s="92">
        <v>120</v>
      </c>
      <c r="D25" s="92">
        <v>3</v>
      </c>
      <c r="E25" s="89">
        <f>PRODUCT(C25:D25)</f>
        <v>360</v>
      </c>
      <c r="F25" s="89"/>
      <c r="G25" s="89"/>
      <c r="H25" s="89"/>
      <c r="I25" s="91"/>
      <c r="L25" s="91"/>
      <c r="M25" s="91"/>
      <c r="N25" s="91"/>
    </row>
    <row r="26" spans="1:14" s="90" customFormat="1" ht="15.6" x14ac:dyDescent="0.3">
      <c r="A26" s="97" t="s">
        <v>447</v>
      </c>
      <c r="B26" s="103"/>
      <c r="C26" s="92">
        <v>15</v>
      </c>
      <c r="D26" s="92">
        <v>2</v>
      </c>
      <c r="E26" s="89">
        <f t="shared" ref="E26:E29" si="2">PRODUCT(C26:D26)</f>
        <v>30</v>
      </c>
      <c r="F26" s="89"/>
      <c r="G26" s="89"/>
      <c r="H26" s="89"/>
      <c r="I26" s="91"/>
      <c r="L26" s="91"/>
      <c r="M26" s="91"/>
      <c r="N26" s="91"/>
    </row>
    <row r="27" spans="1:14" s="90" customFormat="1" ht="15.6" x14ac:dyDescent="0.3">
      <c r="A27" s="97" t="s">
        <v>448</v>
      </c>
      <c r="B27" s="103"/>
      <c r="C27" s="92">
        <v>110</v>
      </c>
      <c r="D27" s="92">
        <v>3</v>
      </c>
      <c r="E27" s="89">
        <f t="shared" si="2"/>
        <v>330</v>
      </c>
      <c r="F27" s="89"/>
      <c r="G27" s="89"/>
      <c r="H27" s="89"/>
      <c r="I27" s="91"/>
      <c r="L27" s="91"/>
      <c r="M27" s="91"/>
      <c r="N27" s="91"/>
    </row>
    <row r="28" spans="1:14" s="90" customFormat="1" ht="15.6" x14ac:dyDescent="0.3">
      <c r="A28" s="97" t="s">
        <v>449</v>
      </c>
      <c r="B28" s="103"/>
      <c r="C28" s="92">
        <v>10</v>
      </c>
      <c r="D28" s="92">
        <v>2</v>
      </c>
      <c r="E28" s="89">
        <f t="shared" si="2"/>
        <v>20</v>
      </c>
      <c r="F28" s="89"/>
      <c r="G28" s="89"/>
      <c r="H28" s="89"/>
      <c r="I28" s="91"/>
      <c r="L28" s="91"/>
      <c r="M28" s="91"/>
      <c r="N28" s="91"/>
    </row>
    <row r="29" spans="1:14" s="90" customFormat="1" ht="15.6" x14ac:dyDescent="0.3">
      <c r="A29" s="97" t="s">
        <v>450</v>
      </c>
      <c r="B29" s="104"/>
      <c r="C29" s="92">
        <v>15</v>
      </c>
      <c r="D29" s="92">
        <v>6</v>
      </c>
      <c r="E29" s="89">
        <f t="shared" si="2"/>
        <v>90</v>
      </c>
      <c r="F29" s="105"/>
      <c r="G29" s="105"/>
      <c r="H29" s="105"/>
      <c r="I29" s="106"/>
      <c r="L29" s="91"/>
      <c r="M29" s="91"/>
      <c r="N29" s="91"/>
    </row>
    <row r="30" spans="1:14" s="90" customFormat="1" ht="15.6" x14ac:dyDescent="0.3">
      <c r="A30" s="107" t="s">
        <v>32</v>
      </c>
      <c r="B30" s="103"/>
      <c r="C30" s="108">
        <f>SUM(C25:C29)</f>
        <v>270</v>
      </c>
      <c r="D30" s="108"/>
      <c r="E30" s="109">
        <f>SUM(E25:E29)</f>
        <v>830</v>
      </c>
      <c r="F30" s="105"/>
      <c r="G30" s="105"/>
      <c r="H30" s="105"/>
      <c r="I30" s="106"/>
      <c r="L30" s="91"/>
      <c r="M30" s="91"/>
      <c r="N30" s="91"/>
    </row>
    <row r="31" spans="1:14" s="90" customFormat="1" ht="16.2" thickBot="1" x14ac:dyDescent="0.35">
      <c r="A31" s="110"/>
      <c r="B31" s="103"/>
      <c r="C31" s="111"/>
      <c r="D31" s="111"/>
      <c r="E31" s="105"/>
      <c r="F31" s="105"/>
      <c r="G31" s="105"/>
      <c r="H31" s="105"/>
      <c r="I31" s="106"/>
      <c r="L31" s="91"/>
      <c r="M31" s="91"/>
      <c r="N31" s="91"/>
    </row>
    <row r="32" spans="1:14" s="90" customFormat="1" ht="16.2" thickBot="1" x14ac:dyDescent="0.35">
      <c r="A32" s="110"/>
      <c r="B32" s="103"/>
      <c r="C32" s="111"/>
      <c r="D32" s="427" t="s">
        <v>76</v>
      </c>
      <c r="E32" s="427" t="s">
        <v>76</v>
      </c>
      <c r="F32" s="427" t="s">
        <v>76</v>
      </c>
      <c r="G32" s="427" t="s">
        <v>281</v>
      </c>
      <c r="H32" s="427" t="s">
        <v>282</v>
      </c>
      <c r="I32" s="427" t="s">
        <v>283</v>
      </c>
      <c r="L32" s="91"/>
      <c r="M32" s="91"/>
      <c r="N32" s="91"/>
    </row>
    <row r="33" spans="1:14" s="134" customFormat="1" ht="28.8" customHeight="1" thickBot="1" x14ac:dyDescent="0.45">
      <c r="A33" s="234"/>
      <c r="B33" s="235"/>
      <c r="C33" s="235"/>
      <c r="D33" s="348" t="s">
        <v>265</v>
      </c>
      <c r="E33" s="348" t="s">
        <v>73</v>
      </c>
      <c r="F33" s="348" t="s">
        <v>74</v>
      </c>
      <c r="G33" s="349" t="s">
        <v>75</v>
      </c>
      <c r="H33" s="349" t="s">
        <v>75</v>
      </c>
      <c r="I33" s="349" t="s">
        <v>266</v>
      </c>
      <c r="K33" s="48"/>
    </row>
    <row r="34" spans="1:14" s="134" customFormat="1" ht="16.2" customHeight="1" thickTop="1" x14ac:dyDescent="0.3">
      <c r="A34" s="121" t="s">
        <v>170</v>
      </c>
      <c r="B34" s="122"/>
      <c r="C34" s="123"/>
      <c r="D34" s="265">
        <v>136</v>
      </c>
      <c r="E34" s="265">
        <v>134</v>
      </c>
      <c r="F34" s="265">
        <v>140</v>
      </c>
      <c r="G34" s="265">
        <v>141</v>
      </c>
      <c r="H34" s="265">
        <v>140</v>
      </c>
      <c r="I34" s="265">
        <v>140</v>
      </c>
      <c r="K34" s="48"/>
    </row>
    <row r="35" spans="1:14" s="134" customFormat="1" ht="16.2" customHeight="1" x14ac:dyDescent="0.3">
      <c r="A35" s="197" t="s">
        <v>179</v>
      </c>
      <c r="B35" s="126"/>
      <c r="C35" s="127"/>
      <c r="D35" s="266">
        <v>28</v>
      </c>
      <c r="E35" s="266">
        <v>29</v>
      </c>
      <c r="F35" s="266">
        <v>28</v>
      </c>
      <c r="G35" s="266">
        <v>29</v>
      </c>
      <c r="H35" s="266">
        <v>28</v>
      </c>
      <c r="I35" s="266">
        <v>27</v>
      </c>
      <c r="K35" s="48"/>
    </row>
    <row r="36" spans="1:14" s="134" customFormat="1" ht="13.05" customHeight="1" x14ac:dyDescent="0.3">
      <c r="A36" s="125" t="s">
        <v>171</v>
      </c>
      <c r="B36" s="126"/>
      <c r="C36" s="127"/>
      <c r="D36" s="266">
        <v>128</v>
      </c>
      <c r="E36" s="266">
        <v>133</v>
      </c>
      <c r="F36" s="266">
        <v>135</v>
      </c>
      <c r="G36" s="266">
        <v>131</v>
      </c>
      <c r="H36" s="266">
        <v>135</v>
      </c>
      <c r="I36" s="266">
        <v>135</v>
      </c>
      <c r="K36" s="48"/>
    </row>
    <row r="37" spans="1:14" s="134" customFormat="1" ht="13.05" customHeight="1" x14ac:dyDescent="0.3">
      <c r="A37" s="125" t="s">
        <v>180</v>
      </c>
      <c r="B37" s="126"/>
      <c r="C37" s="127"/>
      <c r="D37" s="266">
        <v>29</v>
      </c>
      <c r="E37" s="266">
        <v>28</v>
      </c>
      <c r="F37" s="266">
        <v>28</v>
      </c>
      <c r="G37" s="266">
        <v>27</v>
      </c>
      <c r="H37" s="266">
        <v>28</v>
      </c>
      <c r="I37" s="266">
        <v>29</v>
      </c>
      <c r="K37" s="48"/>
    </row>
    <row r="38" spans="1:14" s="134" customFormat="1" ht="13.05" customHeight="1" x14ac:dyDescent="0.3">
      <c r="A38" s="125" t="s">
        <v>77</v>
      </c>
      <c r="B38" s="129"/>
      <c r="C38" s="130"/>
      <c r="D38" s="267">
        <v>2.5000000000000001E-2</v>
      </c>
      <c r="E38" s="267">
        <v>0.03</v>
      </c>
      <c r="F38" s="267">
        <v>0.04</v>
      </c>
      <c r="G38" s="267">
        <v>0.04</v>
      </c>
      <c r="H38" s="267">
        <v>0.04</v>
      </c>
      <c r="I38" s="267">
        <v>0.04</v>
      </c>
      <c r="J38" s="353"/>
    </row>
    <row r="39" spans="1:14" s="134" customFormat="1" ht="15.6" x14ac:dyDescent="0.3">
      <c r="A39" s="125" t="s">
        <v>172</v>
      </c>
      <c r="B39" s="129"/>
      <c r="C39" s="130"/>
      <c r="D39" s="233">
        <v>3850</v>
      </c>
      <c r="E39" s="131">
        <f>D39*(1+E$38)</f>
        <v>3965.5</v>
      </c>
      <c r="F39" s="131">
        <f>E39*(1+F$38)</f>
        <v>4124.12</v>
      </c>
      <c r="G39" s="131">
        <f>F39*(1+G$38)</f>
        <v>4289.0847999999996</v>
      </c>
      <c r="H39" s="131">
        <f>F39*(1+H$38)</f>
        <v>4289.0847999999996</v>
      </c>
      <c r="I39" s="131">
        <f>H39*(1+I$38)</f>
        <v>4460.6481919999997</v>
      </c>
    </row>
    <row r="40" spans="1:14" s="134" customFormat="1" ht="15.6" x14ac:dyDescent="0.3">
      <c r="A40" s="125" t="s">
        <v>173</v>
      </c>
      <c r="B40" s="129"/>
      <c r="C40" s="130"/>
      <c r="D40" s="233">
        <v>3850</v>
      </c>
      <c r="E40" s="131">
        <f>D40*(1+$E38)</f>
        <v>3965.5</v>
      </c>
      <c r="F40" s="131">
        <f>E40*(1+F38)</f>
        <v>4124.12</v>
      </c>
      <c r="G40" s="131">
        <f>F40*(1+G38)</f>
        <v>4289.0847999999996</v>
      </c>
      <c r="H40" s="131">
        <f>F40*(1+H38)</f>
        <v>4289.0847999999996</v>
      </c>
      <c r="I40" s="131">
        <f>H40*(1+I38)</f>
        <v>4460.6481919999997</v>
      </c>
    </row>
    <row r="41" spans="1:14" s="134" customFormat="1" ht="15.6" x14ac:dyDescent="0.3">
      <c r="A41" s="125" t="s">
        <v>176</v>
      </c>
      <c r="B41" s="192"/>
      <c r="C41" s="193"/>
      <c r="D41" s="268">
        <v>0.18</v>
      </c>
      <c r="E41" s="268">
        <v>0.18</v>
      </c>
      <c r="F41" s="268">
        <v>0.18</v>
      </c>
      <c r="G41" s="268">
        <v>0.18</v>
      </c>
      <c r="H41" s="268">
        <v>0.18</v>
      </c>
      <c r="I41" s="268">
        <v>0.18</v>
      </c>
    </row>
    <row r="42" spans="1:14" s="134" customFormat="1" ht="15.6" x14ac:dyDescent="0.3">
      <c r="A42" s="125" t="s">
        <v>177</v>
      </c>
      <c r="B42" s="129"/>
      <c r="C42" s="130"/>
      <c r="D42" s="233">
        <f>D41*(D45+D46)</f>
        <v>182952</v>
      </c>
      <c r="E42" s="233">
        <f t="shared" ref="E42:I42" si="3">E41*(E45+E46)</f>
        <v>190581.93</v>
      </c>
      <c r="F42" s="233">
        <f t="shared" si="3"/>
        <v>204143.94</v>
      </c>
      <c r="G42" s="233">
        <f t="shared" si="3"/>
        <v>209993.59180799997</v>
      </c>
      <c r="H42" s="233">
        <f t="shared" si="3"/>
        <v>212309.69759999996</v>
      </c>
      <c r="I42" s="233">
        <f t="shared" si="3"/>
        <v>220802.08550399999</v>
      </c>
    </row>
    <row r="43" spans="1:14" s="134" customFormat="1" ht="15.6" x14ac:dyDescent="0.3">
      <c r="A43" s="247"/>
      <c r="B43" s="247"/>
      <c r="C43" s="247"/>
      <c r="D43" s="248"/>
      <c r="E43" s="248"/>
      <c r="F43" s="248"/>
      <c r="G43" s="248"/>
      <c r="H43" s="248"/>
      <c r="I43" s="248"/>
    </row>
    <row r="44" spans="1:14" s="134" customFormat="1" ht="15.6" x14ac:dyDescent="0.3">
      <c r="A44" s="249" t="s">
        <v>39</v>
      </c>
      <c r="B44" s="250"/>
      <c r="C44" s="250"/>
      <c r="D44" s="251"/>
      <c r="E44" s="251"/>
      <c r="F44" s="252"/>
      <c r="G44" s="252"/>
      <c r="H44" s="252"/>
      <c r="I44" s="252"/>
    </row>
    <row r="45" spans="1:14" s="134" customFormat="1" ht="15.6" x14ac:dyDescent="0.3">
      <c r="A45" s="138" t="s">
        <v>174</v>
      </c>
      <c r="B45" s="139"/>
      <c r="C45" s="139"/>
      <c r="D45" s="141">
        <f>D39*D34</f>
        <v>523600</v>
      </c>
      <c r="E45" s="141">
        <f>E39*E34</f>
        <v>531377</v>
      </c>
      <c r="F45" s="141">
        <f>F39*F34</f>
        <v>577376.79999999993</v>
      </c>
      <c r="G45" s="141">
        <f>G34*G39</f>
        <v>604760.95679999993</v>
      </c>
      <c r="H45" s="141">
        <f>H34*H39</f>
        <v>600471.87199999997</v>
      </c>
      <c r="I45" s="141">
        <f>I34*I39</f>
        <v>624490.74687999999</v>
      </c>
      <c r="K45" s="253"/>
    </row>
    <row r="46" spans="1:14" s="134" customFormat="1" ht="15.6" x14ac:dyDescent="0.3">
      <c r="A46" s="138" t="s">
        <v>175</v>
      </c>
      <c r="B46" s="139"/>
      <c r="C46" s="139"/>
      <c r="D46" s="141">
        <f>D40*D36</f>
        <v>492800</v>
      </c>
      <c r="E46" s="141">
        <f>E40*E36</f>
        <v>527411.5</v>
      </c>
      <c r="F46" s="141">
        <f>F40*F36</f>
        <v>556756.19999999995</v>
      </c>
      <c r="G46" s="141">
        <f>G36*G39</f>
        <v>561870.10879999993</v>
      </c>
      <c r="H46" s="141">
        <f>H36*H39</f>
        <v>579026.44799999997</v>
      </c>
      <c r="I46" s="141">
        <f>I36*I39</f>
        <v>602187.50591999991</v>
      </c>
    </row>
    <row r="47" spans="1:14" s="134" customFormat="1" ht="15.6" x14ac:dyDescent="0.3">
      <c r="A47" s="400" t="s">
        <v>385</v>
      </c>
      <c r="B47" s="400"/>
      <c r="C47" s="400"/>
      <c r="D47" s="401">
        <f>D45+D46</f>
        <v>1016400</v>
      </c>
      <c r="E47" s="401">
        <f t="shared" ref="E47:I47" si="4">E45+E46</f>
        <v>1058788.5</v>
      </c>
      <c r="F47" s="401">
        <f t="shared" si="4"/>
        <v>1134133</v>
      </c>
      <c r="G47" s="401">
        <f t="shared" si="4"/>
        <v>1166631.0655999999</v>
      </c>
      <c r="H47" s="401">
        <f t="shared" si="4"/>
        <v>1179498.3199999998</v>
      </c>
      <c r="I47" s="401">
        <f t="shared" si="4"/>
        <v>1226678.2527999999</v>
      </c>
    </row>
    <row r="48" spans="1:14" s="90" customFormat="1" ht="15.6" x14ac:dyDescent="0.3">
      <c r="A48" s="97"/>
      <c r="B48" s="89"/>
      <c r="C48" s="112"/>
      <c r="D48" s="113"/>
      <c r="E48" s="113"/>
      <c r="F48" s="113"/>
      <c r="G48" s="113"/>
      <c r="H48" s="113"/>
      <c r="L48" s="91"/>
      <c r="M48" s="91"/>
      <c r="N48" s="91"/>
    </row>
  </sheetData>
  <pageMargins left="0.7" right="0.7" top="0.75" bottom="0.75" header="0.3" footer="0.3"/>
  <pageSetup scale="83" fitToHeight="0" orientation="landscape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G75"/>
  <sheetViews>
    <sheetView topLeftCell="A39" zoomScale="70" zoomScaleNormal="70" workbookViewId="0">
      <selection activeCell="A16" sqref="A16"/>
    </sheetView>
  </sheetViews>
  <sheetFormatPr defaultRowHeight="14.4" x14ac:dyDescent="0.3"/>
  <cols>
    <col min="1" max="1" width="20.109375" style="4" customWidth="1"/>
    <col min="2" max="2" width="13.6640625" style="4" customWidth="1"/>
    <col min="3" max="3" width="32.5546875" style="4" customWidth="1"/>
    <col min="4" max="4" width="17.33203125" style="2" hidden="1" customWidth="1"/>
    <col min="5" max="5" width="5.21875" style="52" customWidth="1"/>
    <col min="6" max="6" width="10.6640625" style="52" customWidth="1"/>
    <col min="7" max="7" width="14.33203125" style="23" bestFit="1" customWidth="1"/>
    <col min="8" max="8" width="4.44140625" style="23" customWidth="1"/>
    <col min="9" max="9" width="10.5546875" style="24" customWidth="1"/>
    <col min="10" max="10" width="11.6640625" style="24" customWidth="1"/>
    <col min="11" max="11" width="5.21875" style="24" customWidth="1"/>
    <col min="12" max="13" width="11" style="24" customWidth="1"/>
    <col min="14" max="14" width="5.6640625" style="24" customWidth="1"/>
    <col min="15" max="15" width="12.109375" style="24" customWidth="1"/>
    <col min="16" max="16" width="12" style="24" customWidth="1"/>
    <col min="17" max="17" width="6" style="24" customWidth="1"/>
    <col min="18" max="19" width="10.77734375" style="24" customWidth="1"/>
    <col min="20" max="20" width="6" style="24" customWidth="1"/>
    <col min="21" max="22" width="10.77734375" style="24" customWidth="1"/>
    <col min="23" max="23" width="48.6640625" style="4" customWidth="1"/>
    <col min="24" max="25" width="8.6640625" style="2"/>
  </cols>
  <sheetData>
    <row r="1" spans="1:27" x14ac:dyDescent="0.3">
      <c r="A1" s="12" t="s">
        <v>27</v>
      </c>
      <c r="G1" s="23" t="s">
        <v>207</v>
      </c>
      <c r="I1" s="200">
        <v>0.03</v>
      </c>
      <c r="J1" s="200"/>
      <c r="K1" s="200"/>
      <c r="L1" s="200">
        <v>0.02</v>
      </c>
      <c r="M1" s="200"/>
      <c r="N1" s="200"/>
      <c r="O1" s="200">
        <v>3.5000000000000003E-2</v>
      </c>
      <c r="P1" s="200"/>
      <c r="Q1" s="200"/>
      <c r="R1" s="200">
        <v>2.5000000000000001E-2</v>
      </c>
      <c r="S1" s="200"/>
      <c r="T1" s="200"/>
      <c r="U1" s="200">
        <v>2.5000000000000001E-2</v>
      </c>
      <c r="V1" s="200"/>
      <c r="Z1" s="15" t="s">
        <v>34</v>
      </c>
      <c r="AA1" s="15">
        <v>1.05</v>
      </c>
    </row>
    <row r="2" spans="1:27" x14ac:dyDescent="0.3">
      <c r="A2" s="12"/>
      <c r="G2" s="23" t="s">
        <v>211</v>
      </c>
      <c r="I2" s="200">
        <v>2.1999999999999999E-2</v>
      </c>
      <c r="Z2" s="15"/>
      <c r="AA2" s="15"/>
    </row>
    <row r="3" spans="1:27" x14ac:dyDescent="0.3">
      <c r="A3" s="12"/>
      <c r="Z3" s="15"/>
      <c r="AA3" s="15"/>
    </row>
    <row r="4" spans="1:27" ht="18.600000000000001" thickBot="1" x14ac:dyDescent="0.4">
      <c r="A4" s="370" t="s">
        <v>315</v>
      </c>
      <c r="I4" s="393" t="s">
        <v>315</v>
      </c>
    </row>
    <row r="5" spans="1:27" ht="15" thickBot="1" x14ac:dyDescent="0.35">
      <c r="A5" s="16" t="s">
        <v>0</v>
      </c>
      <c r="B5" s="17" t="s">
        <v>1</v>
      </c>
      <c r="C5" s="17" t="s">
        <v>2</v>
      </c>
      <c r="D5" s="20"/>
      <c r="E5" s="554" t="s">
        <v>218</v>
      </c>
      <c r="F5" s="555"/>
      <c r="G5" s="556"/>
      <c r="H5" s="551" t="s">
        <v>274</v>
      </c>
      <c r="I5" s="552"/>
      <c r="J5" s="553"/>
      <c r="K5" s="551" t="s">
        <v>275</v>
      </c>
      <c r="L5" s="552"/>
      <c r="M5" s="552"/>
      <c r="N5" s="551" t="s">
        <v>276</v>
      </c>
      <c r="O5" s="552"/>
      <c r="P5" s="553"/>
      <c r="Q5" s="552" t="s">
        <v>219</v>
      </c>
      <c r="R5" s="552"/>
      <c r="S5" s="552"/>
      <c r="T5" s="551" t="s">
        <v>277</v>
      </c>
      <c r="U5" s="552"/>
      <c r="V5" s="553"/>
      <c r="W5" s="18" t="s">
        <v>28</v>
      </c>
      <c r="X5" s="3"/>
    </row>
    <row r="6" spans="1:27" ht="15" thickBot="1" x14ac:dyDescent="0.35">
      <c r="D6" s="2" t="s">
        <v>35</v>
      </c>
      <c r="E6" s="205" t="s">
        <v>210</v>
      </c>
      <c r="F6" s="206" t="s">
        <v>208</v>
      </c>
      <c r="G6" s="207" t="s">
        <v>209</v>
      </c>
      <c r="H6" s="216" t="s">
        <v>210</v>
      </c>
      <c r="I6" s="217" t="s">
        <v>208</v>
      </c>
      <c r="J6" s="218" t="s">
        <v>209</v>
      </c>
      <c r="K6" s="216" t="s">
        <v>210</v>
      </c>
      <c r="L6" s="217" t="s">
        <v>208</v>
      </c>
      <c r="M6" s="218" t="s">
        <v>209</v>
      </c>
      <c r="N6" s="230" t="s">
        <v>210</v>
      </c>
      <c r="O6" s="231" t="s">
        <v>208</v>
      </c>
      <c r="P6" s="232" t="s">
        <v>209</v>
      </c>
      <c r="Q6" s="216"/>
      <c r="R6" s="217"/>
      <c r="S6" s="218"/>
      <c r="T6" s="216"/>
      <c r="U6" s="217"/>
      <c r="V6" s="218"/>
    </row>
    <row r="7" spans="1:27" x14ac:dyDescent="0.3">
      <c r="A7" s="19"/>
      <c r="B7" s="19"/>
      <c r="C7" s="19"/>
      <c r="D7" s="21"/>
      <c r="E7" s="202"/>
      <c r="F7" s="203"/>
      <c r="G7" s="204"/>
      <c r="H7" s="219"/>
      <c r="I7" s="220"/>
      <c r="J7" s="221"/>
      <c r="K7" s="219"/>
      <c r="L7" s="220"/>
      <c r="M7" s="221"/>
      <c r="N7" s="219"/>
      <c r="O7" s="220"/>
      <c r="P7" s="221"/>
      <c r="Q7" s="219"/>
      <c r="R7" s="220"/>
      <c r="S7" s="221"/>
      <c r="T7" s="219"/>
      <c r="U7" s="220"/>
      <c r="V7" s="221"/>
      <c r="W7" s="19"/>
      <c r="X7" s="3"/>
    </row>
    <row r="8" spans="1:27" x14ac:dyDescent="0.3">
      <c r="A8" s="4" t="s">
        <v>3</v>
      </c>
      <c r="B8" s="4" t="s">
        <v>4</v>
      </c>
      <c r="C8" s="4" t="s">
        <v>202</v>
      </c>
      <c r="E8" s="205">
        <v>1</v>
      </c>
      <c r="F8" s="224">
        <v>92000</v>
      </c>
      <c r="G8" s="207">
        <f t="shared" ref="G8:G11" si="0">E8*F8</f>
        <v>92000</v>
      </c>
      <c r="H8" s="205">
        <v>1</v>
      </c>
      <c r="I8" s="224">
        <f t="shared" ref="I8:I11" si="1" xml:space="preserve"> F8*(1+$I$1)</f>
        <v>94760</v>
      </c>
      <c r="J8" s="207">
        <f t="shared" ref="J8:J11" si="2">H8*I8</f>
        <v>94760</v>
      </c>
      <c r="K8" s="205">
        <v>1</v>
      </c>
      <c r="L8" s="224">
        <f t="shared" ref="L8:L11" si="3" xml:space="preserve"> I8*(1+$L$1)</f>
        <v>96655.2</v>
      </c>
      <c r="M8" s="207">
        <f t="shared" ref="M8:M11" si="4">K8*L8</f>
        <v>96655.2</v>
      </c>
      <c r="N8" s="205">
        <v>1</v>
      </c>
      <c r="O8" s="224">
        <f t="shared" ref="O8:O11" si="5" xml:space="preserve"> L8*(1+$O$1)</f>
        <v>100038.13199999998</v>
      </c>
      <c r="P8" s="207">
        <f t="shared" ref="P8:P11" si="6">N8*O8</f>
        <v>100038.13199999998</v>
      </c>
      <c r="Q8" s="205">
        <v>1</v>
      </c>
      <c r="R8" s="224">
        <f t="shared" ref="R8:R11" si="7" xml:space="preserve"> O8*(1+$R$1)</f>
        <v>102539.08529999998</v>
      </c>
      <c r="S8" s="207">
        <f t="shared" ref="S8:S11" si="8">Q8*R8</f>
        <v>102539.08529999998</v>
      </c>
      <c r="T8" s="205">
        <v>1</v>
      </c>
      <c r="U8" s="224">
        <f xml:space="preserve"> R8*(1+$U$1)</f>
        <v>105102.56243249997</v>
      </c>
      <c r="V8" s="207">
        <f t="shared" ref="V8:V11" si="9">T8*U8</f>
        <v>105102.56243249997</v>
      </c>
      <c r="W8" s="4" t="s">
        <v>30</v>
      </c>
      <c r="X8" s="4"/>
    </row>
    <row r="9" spans="1:27" x14ac:dyDescent="0.3">
      <c r="A9" s="4" t="s">
        <v>3</v>
      </c>
      <c r="B9" s="4" t="s">
        <v>4</v>
      </c>
      <c r="C9" s="4" t="s">
        <v>5</v>
      </c>
      <c r="E9" s="205">
        <v>1</v>
      </c>
      <c r="F9" s="224">
        <v>56000</v>
      </c>
      <c r="G9" s="208">
        <f t="shared" si="0"/>
        <v>56000</v>
      </c>
      <c r="H9" s="205">
        <v>1</v>
      </c>
      <c r="I9" s="224">
        <f t="shared" si="1"/>
        <v>57680</v>
      </c>
      <c r="J9" s="208">
        <f t="shared" si="2"/>
        <v>57680</v>
      </c>
      <c r="K9" s="205">
        <v>1</v>
      </c>
      <c r="L9" s="224">
        <f t="shared" si="3"/>
        <v>58833.599999999999</v>
      </c>
      <c r="M9" s="208">
        <f t="shared" si="4"/>
        <v>58833.599999999999</v>
      </c>
      <c r="N9" s="205">
        <v>1</v>
      </c>
      <c r="O9" s="224">
        <f t="shared" si="5"/>
        <v>60892.775999999991</v>
      </c>
      <c r="P9" s="208">
        <f t="shared" si="6"/>
        <v>60892.775999999991</v>
      </c>
      <c r="Q9" s="205">
        <v>1</v>
      </c>
      <c r="R9" s="224">
        <f t="shared" si="7"/>
        <v>62415.095399999984</v>
      </c>
      <c r="S9" s="208">
        <f t="shared" si="8"/>
        <v>62415.095399999984</v>
      </c>
      <c r="T9" s="205">
        <v>1</v>
      </c>
      <c r="U9" s="224">
        <f t="shared" ref="U9:U11" si="10" xml:space="preserve"> R9*(1+$U$1)</f>
        <v>63975.472784999976</v>
      </c>
      <c r="V9" s="208">
        <f t="shared" si="9"/>
        <v>63975.472784999976</v>
      </c>
      <c r="W9" s="4" t="s">
        <v>31</v>
      </c>
    </row>
    <row r="10" spans="1:27" x14ac:dyDescent="0.3">
      <c r="A10" s="4" t="s">
        <v>3</v>
      </c>
      <c r="B10" s="4" t="s">
        <v>4</v>
      </c>
      <c r="C10" s="4" t="s">
        <v>6</v>
      </c>
      <c r="E10" s="205">
        <v>1</v>
      </c>
      <c r="F10" s="224">
        <v>52000</v>
      </c>
      <c r="G10" s="207">
        <f t="shared" si="0"/>
        <v>52000</v>
      </c>
      <c r="H10" s="205">
        <v>1</v>
      </c>
      <c r="I10" s="224">
        <f t="shared" si="1"/>
        <v>53560</v>
      </c>
      <c r="J10" s="207">
        <f t="shared" si="2"/>
        <v>53560</v>
      </c>
      <c r="K10" s="205">
        <v>1</v>
      </c>
      <c r="L10" s="224">
        <f t="shared" si="3"/>
        <v>54631.200000000004</v>
      </c>
      <c r="M10" s="207">
        <f t="shared" si="4"/>
        <v>54631.200000000004</v>
      </c>
      <c r="N10" s="205">
        <v>1</v>
      </c>
      <c r="O10" s="224">
        <f t="shared" si="5"/>
        <v>56543.292000000001</v>
      </c>
      <c r="P10" s="207">
        <f t="shared" si="6"/>
        <v>56543.292000000001</v>
      </c>
      <c r="Q10" s="205">
        <v>1</v>
      </c>
      <c r="R10" s="224">
        <f t="shared" si="7"/>
        <v>57956.874299999996</v>
      </c>
      <c r="S10" s="207">
        <f t="shared" si="8"/>
        <v>57956.874299999996</v>
      </c>
      <c r="T10" s="205">
        <v>1</v>
      </c>
      <c r="U10" s="224">
        <f t="shared" si="10"/>
        <v>59405.796157499994</v>
      </c>
      <c r="V10" s="207">
        <f t="shared" si="9"/>
        <v>59405.796157499994</v>
      </c>
    </row>
    <row r="11" spans="1:27" x14ac:dyDescent="0.3">
      <c r="A11" s="1" t="s">
        <v>7</v>
      </c>
      <c r="B11" s="1" t="s">
        <v>4</v>
      </c>
      <c r="C11" s="1" t="s">
        <v>8</v>
      </c>
      <c r="D11" s="22"/>
      <c r="E11" s="205">
        <v>0.25</v>
      </c>
      <c r="F11" s="224">
        <v>60000</v>
      </c>
      <c r="G11" s="208">
        <f t="shared" si="0"/>
        <v>15000</v>
      </c>
      <c r="H11" s="205">
        <v>0.25</v>
      </c>
      <c r="I11" s="224">
        <f t="shared" si="1"/>
        <v>61800</v>
      </c>
      <c r="J11" s="208">
        <f t="shared" si="2"/>
        <v>15450</v>
      </c>
      <c r="K11" s="205">
        <v>0.25</v>
      </c>
      <c r="L11" s="224">
        <f t="shared" si="3"/>
        <v>63036</v>
      </c>
      <c r="M11" s="208">
        <f t="shared" si="4"/>
        <v>15759</v>
      </c>
      <c r="N11" s="205">
        <v>0.25</v>
      </c>
      <c r="O11" s="224">
        <f t="shared" si="5"/>
        <v>65242.259999999995</v>
      </c>
      <c r="P11" s="208">
        <f t="shared" si="6"/>
        <v>16310.564999999999</v>
      </c>
      <c r="Q11" s="205">
        <v>0.25</v>
      </c>
      <c r="R11" s="224">
        <f t="shared" si="7"/>
        <v>66873.316499999986</v>
      </c>
      <c r="S11" s="208">
        <f t="shared" si="8"/>
        <v>16718.329124999997</v>
      </c>
      <c r="T11" s="205">
        <v>0.25</v>
      </c>
      <c r="U11" s="224">
        <f t="shared" si="10"/>
        <v>68545.149412499974</v>
      </c>
      <c r="V11" s="208">
        <f t="shared" si="9"/>
        <v>17136.287353124993</v>
      </c>
      <c r="W11" s="1"/>
    </row>
    <row r="12" spans="1:27" x14ac:dyDescent="0.3">
      <c r="A12" s="4" t="s">
        <v>29</v>
      </c>
      <c r="E12" s="205">
        <f>SUM(E8:E11)</f>
        <v>3.25</v>
      </c>
      <c r="F12" s="224"/>
      <c r="G12" s="208">
        <f>SUM(G8:G11)</f>
        <v>215000</v>
      </c>
      <c r="H12" s="205">
        <f>SUM(H8:H11)</f>
        <v>3.25</v>
      </c>
      <c r="I12" s="223"/>
      <c r="J12" s="208">
        <f>SUM(J8:J11)</f>
        <v>221450</v>
      </c>
      <c r="K12" s="205">
        <f>SUM(K8:K11)</f>
        <v>3.25</v>
      </c>
      <c r="L12" s="223"/>
      <c r="M12" s="208">
        <f>SUM(M8:M11)</f>
        <v>225879</v>
      </c>
      <c r="N12" s="205">
        <f>SUM(N8:N11)</f>
        <v>3.25</v>
      </c>
      <c r="O12" s="223"/>
      <c r="P12" s="208">
        <f>SUM(P8:P11)</f>
        <v>233784.76499999996</v>
      </c>
      <c r="Q12" s="205">
        <f>SUM(Q8:Q11)</f>
        <v>3.25</v>
      </c>
      <c r="R12" s="223"/>
      <c r="S12" s="208">
        <f>SUM(S8:S11)</f>
        <v>239629.38412499995</v>
      </c>
      <c r="T12" s="205">
        <f>SUM(T8:T11)</f>
        <v>3.25</v>
      </c>
      <c r="U12" s="223"/>
      <c r="V12" s="208">
        <f>SUM(V8:V11)</f>
        <v>245620.11872812494</v>
      </c>
    </row>
    <row r="13" spans="1:27" x14ac:dyDescent="0.3">
      <c r="E13" s="205"/>
      <c r="F13" s="224"/>
      <c r="G13" s="208"/>
      <c r="H13" s="205"/>
      <c r="I13" s="222"/>
      <c r="J13" s="208"/>
      <c r="K13" s="205"/>
      <c r="L13" s="222"/>
      <c r="M13" s="208"/>
      <c r="N13" s="205"/>
      <c r="O13" s="222"/>
      <c r="P13" s="208"/>
      <c r="Q13" s="205"/>
      <c r="R13" s="222"/>
      <c r="S13" s="208"/>
      <c r="T13" s="205"/>
      <c r="U13" s="222"/>
      <c r="V13" s="208"/>
    </row>
    <row r="14" spans="1:27" x14ac:dyDescent="0.3">
      <c r="A14" s="4" t="s">
        <v>3</v>
      </c>
      <c r="B14" s="4" t="s">
        <v>4</v>
      </c>
      <c r="C14" s="4" t="s">
        <v>9</v>
      </c>
      <c r="E14" s="205">
        <v>1</v>
      </c>
      <c r="F14" s="224">
        <v>62000</v>
      </c>
      <c r="G14" s="208">
        <f t="shared" ref="G14:G16" si="11">E14*F14</f>
        <v>62000</v>
      </c>
      <c r="H14" s="205">
        <v>1</v>
      </c>
      <c r="I14" s="224">
        <f t="shared" ref="I14:I16" si="12" xml:space="preserve"> F14*(1+$I$1)</f>
        <v>63860</v>
      </c>
      <c r="J14" s="208">
        <f t="shared" ref="J14:J16" si="13">H14*I14</f>
        <v>63860</v>
      </c>
      <c r="K14" s="205">
        <v>1</v>
      </c>
      <c r="L14" s="224">
        <f t="shared" ref="L14:L16" si="14" xml:space="preserve"> I14*(1+$L$1)</f>
        <v>65137.200000000004</v>
      </c>
      <c r="M14" s="208">
        <f t="shared" ref="M14:M16" si="15">K14*L14</f>
        <v>65137.200000000004</v>
      </c>
      <c r="N14" s="205">
        <v>1</v>
      </c>
      <c r="O14" s="224">
        <f t="shared" ref="O14:O16" si="16" xml:space="preserve"> L14*(1+$O$1)</f>
        <v>67417.001999999993</v>
      </c>
      <c r="P14" s="208">
        <f t="shared" ref="P14:P16" si="17">N14*O14</f>
        <v>67417.001999999993</v>
      </c>
      <c r="Q14" s="205">
        <v>1</v>
      </c>
      <c r="R14" s="224">
        <f t="shared" ref="R14:R16" si="18" xml:space="preserve"> O14*(1+$R$1)</f>
        <v>69102.427049999984</v>
      </c>
      <c r="S14" s="208">
        <f t="shared" ref="S14:S16" si="19">Q14*R14</f>
        <v>69102.427049999984</v>
      </c>
      <c r="T14" s="205">
        <v>1</v>
      </c>
      <c r="U14" s="224">
        <f t="shared" ref="U14:U16" si="20" xml:space="preserve"> R14*(1+$U$1)</f>
        <v>70829.987726249979</v>
      </c>
      <c r="V14" s="208">
        <f t="shared" ref="V14:V16" si="21">T14*U14</f>
        <v>70829.987726249979</v>
      </c>
      <c r="W14" s="4" t="s">
        <v>33</v>
      </c>
    </row>
    <row r="15" spans="1:27" x14ac:dyDescent="0.3">
      <c r="A15" s="4" t="s">
        <v>3</v>
      </c>
      <c r="B15" s="4" t="s">
        <v>4</v>
      </c>
      <c r="C15" s="4" t="s">
        <v>10</v>
      </c>
      <c r="E15" s="205">
        <v>1</v>
      </c>
      <c r="F15" s="224">
        <v>48000</v>
      </c>
      <c r="G15" s="208">
        <f t="shared" si="11"/>
        <v>48000</v>
      </c>
      <c r="H15" s="205">
        <v>1</v>
      </c>
      <c r="I15" s="224">
        <f t="shared" si="12"/>
        <v>49440</v>
      </c>
      <c r="J15" s="208">
        <f t="shared" si="13"/>
        <v>49440</v>
      </c>
      <c r="K15" s="205">
        <v>1</v>
      </c>
      <c r="L15" s="224">
        <f t="shared" si="14"/>
        <v>50428.800000000003</v>
      </c>
      <c r="M15" s="208">
        <f t="shared" si="15"/>
        <v>50428.800000000003</v>
      </c>
      <c r="N15" s="205">
        <v>1</v>
      </c>
      <c r="O15" s="224">
        <f t="shared" si="16"/>
        <v>52193.807999999997</v>
      </c>
      <c r="P15" s="208">
        <f t="shared" si="17"/>
        <v>52193.807999999997</v>
      </c>
      <c r="Q15" s="205">
        <v>1</v>
      </c>
      <c r="R15" s="224">
        <f t="shared" si="18"/>
        <v>53498.653199999993</v>
      </c>
      <c r="S15" s="208">
        <f t="shared" si="19"/>
        <v>53498.653199999993</v>
      </c>
      <c r="T15" s="205">
        <v>1</v>
      </c>
      <c r="U15" s="224">
        <f t="shared" si="20"/>
        <v>54836.119529999989</v>
      </c>
      <c r="V15" s="208">
        <f t="shared" si="21"/>
        <v>54836.119529999989</v>
      </c>
      <c r="W15" s="4" t="s">
        <v>199</v>
      </c>
    </row>
    <row r="16" spans="1:27" x14ac:dyDescent="0.3">
      <c r="A16" s="199" t="s">
        <v>201</v>
      </c>
      <c r="B16" s="1" t="s">
        <v>4</v>
      </c>
      <c r="C16" s="1" t="s">
        <v>10</v>
      </c>
      <c r="D16" s="22"/>
      <c r="E16" s="205">
        <v>0.75</v>
      </c>
      <c r="F16" s="224">
        <v>42000</v>
      </c>
      <c r="G16" s="208">
        <f t="shared" si="11"/>
        <v>31500</v>
      </c>
      <c r="H16" s="205">
        <v>0.75</v>
      </c>
      <c r="I16" s="224">
        <f t="shared" si="12"/>
        <v>43260</v>
      </c>
      <c r="J16" s="208">
        <f t="shared" si="13"/>
        <v>32445</v>
      </c>
      <c r="K16" s="205">
        <v>0.75</v>
      </c>
      <c r="L16" s="224">
        <f t="shared" si="14"/>
        <v>44125.200000000004</v>
      </c>
      <c r="M16" s="208">
        <f t="shared" si="15"/>
        <v>33093.9</v>
      </c>
      <c r="N16" s="205">
        <v>0.75</v>
      </c>
      <c r="O16" s="224">
        <f t="shared" si="16"/>
        <v>45669.582000000002</v>
      </c>
      <c r="P16" s="208">
        <f t="shared" si="17"/>
        <v>34252.186500000003</v>
      </c>
      <c r="Q16" s="205">
        <v>0.75</v>
      </c>
      <c r="R16" s="224">
        <f t="shared" si="18"/>
        <v>46811.321550000001</v>
      </c>
      <c r="S16" s="208">
        <f t="shared" si="19"/>
        <v>35108.491162500002</v>
      </c>
      <c r="T16" s="205">
        <v>0.75</v>
      </c>
      <c r="U16" s="224">
        <f t="shared" si="20"/>
        <v>47981.604588749993</v>
      </c>
      <c r="V16" s="208">
        <f t="shared" si="21"/>
        <v>35986.203441562495</v>
      </c>
      <c r="W16" s="1" t="s">
        <v>200</v>
      </c>
    </row>
    <row r="17" spans="1:33" x14ac:dyDescent="0.3">
      <c r="A17" s="4" t="s">
        <v>32</v>
      </c>
      <c r="E17" s="205">
        <f>SUM(E14:E16)</f>
        <v>2.75</v>
      </c>
      <c r="F17" s="224"/>
      <c r="G17" s="208">
        <f>SUM(G14:G16)</f>
        <v>141500</v>
      </c>
      <c r="H17" s="205">
        <f>SUM(H14:H16)</f>
        <v>2.75</v>
      </c>
      <c r="I17" s="223"/>
      <c r="J17" s="208">
        <f>SUM(J14:J16)</f>
        <v>145745</v>
      </c>
      <c r="K17" s="205">
        <f>SUM(K14:K16)</f>
        <v>2.75</v>
      </c>
      <c r="L17" s="223"/>
      <c r="M17" s="208">
        <f>SUM(M14:M16)</f>
        <v>148659.9</v>
      </c>
      <c r="N17" s="205">
        <f>SUM(N14:N16)</f>
        <v>2.75</v>
      </c>
      <c r="O17" s="223"/>
      <c r="P17" s="208">
        <f>SUM(P14:P16)</f>
        <v>153862.99650000001</v>
      </c>
      <c r="Q17" s="205">
        <f>SUM(Q14:Q16)</f>
        <v>2.75</v>
      </c>
      <c r="R17" s="223"/>
      <c r="S17" s="208">
        <f>SUM(S14:S16)</f>
        <v>157709.57141249996</v>
      </c>
      <c r="T17" s="205">
        <f>SUM(T14:T16)</f>
        <v>2.75</v>
      </c>
      <c r="U17" s="223"/>
      <c r="V17" s="208">
        <f>SUM(V14:V16)</f>
        <v>161652.31069781247</v>
      </c>
      <c r="Z17" s="2"/>
      <c r="AA17" s="2"/>
      <c r="AB17" s="2"/>
      <c r="AC17" s="2"/>
      <c r="AD17" s="2"/>
      <c r="AE17" s="2"/>
      <c r="AF17" s="2"/>
      <c r="AG17" s="2"/>
    </row>
    <row r="18" spans="1:33" x14ac:dyDescent="0.3">
      <c r="A18" s="8"/>
      <c r="B18" s="8"/>
      <c r="C18" s="8"/>
      <c r="D18" s="40"/>
      <c r="E18" s="227"/>
      <c r="F18" s="227"/>
      <c r="G18" s="228"/>
      <c r="H18" s="228"/>
      <c r="I18" s="228"/>
      <c r="J18" s="228"/>
      <c r="K18" s="228"/>
      <c r="L18" s="228"/>
      <c r="M18" s="228"/>
      <c r="N18" s="228"/>
      <c r="O18" s="228"/>
      <c r="P18" s="228"/>
      <c r="Q18" s="228"/>
      <c r="R18" s="228"/>
      <c r="S18" s="228"/>
      <c r="T18" s="228"/>
      <c r="U18" s="228"/>
      <c r="V18" s="228"/>
      <c r="W18" s="8"/>
      <c r="Z18" s="2"/>
      <c r="AA18" s="2"/>
      <c r="AB18" s="2"/>
      <c r="AC18" s="2"/>
      <c r="AD18" s="2"/>
      <c r="AE18" s="2"/>
      <c r="AF18" s="2"/>
      <c r="AG18" s="2"/>
    </row>
    <row r="19" spans="1:33" x14ac:dyDescent="0.3">
      <c r="A19" s="4" t="s">
        <v>13</v>
      </c>
      <c r="B19" s="4" t="s">
        <v>12</v>
      </c>
      <c r="C19" s="10" t="s">
        <v>14</v>
      </c>
      <c r="D19" s="9">
        <v>3000</v>
      </c>
      <c r="E19" s="209">
        <v>1</v>
      </c>
      <c r="F19" s="188">
        <v>6500</v>
      </c>
      <c r="G19" s="210">
        <f>E19*F19</f>
        <v>6500</v>
      </c>
      <c r="H19" s="226">
        <v>1</v>
      </c>
      <c r="I19" s="224">
        <f xml:space="preserve"> F19*(1+$I$1)</f>
        <v>6695</v>
      </c>
      <c r="J19" s="210">
        <f>H19*I19</f>
        <v>6695</v>
      </c>
      <c r="K19" s="226">
        <v>1</v>
      </c>
      <c r="L19" s="224">
        <f t="shared" ref="L19:L39" si="22" xml:space="preserve"> I19*(1+$L$1)</f>
        <v>6828.9000000000005</v>
      </c>
      <c r="M19" s="210">
        <f>K19*L19</f>
        <v>6828.9000000000005</v>
      </c>
      <c r="N19" s="226">
        <v>1</v>
      </c>
      <c r="O19" s="224">
        <f t="shared" ref="O19:O39" si="23" xml:space="preserve"> L19*(1+$O$1)</f>
        <v>7067.9115000000002</v>
      </c>
      <c r="P19" s="210">
        <f>N19*O19</f>
        <v>7067.9115000000002</v>
      </c>
      <c r="Q19" s="226">
        <v>1</v>
      </c>
      <c r="R19" s="224">
        <f t="shared" ref="R19:R39" si="24" xml:space="preserve"> O19*(1+$R$1)</f>
        <v>7244.6092874999995</v>
      </c>
      <c r="S19" s="210">
        <f>Q19*R19</f>
        <v>7244.6092874999995</v>
      </c>
      <c r="T19" s="226">
        <v>1</v>
      </c>
      <c r="U19" s="224">
        <f xml:space="preserve"> R19*(1+$U$1)</f>
        <v>7425.7245196874992</v>
      </c>
      <c r="V19" s="210">
        <f>T19*U19</f>
        <v>7425.7245196874992</v>
      </c>
    </row>
    <row r="20" spans="1:33" x14ac:dyDescent="0.3">
      <c r="A20" s="4" t="s">
        <v>13</v>
      </c>
      <c r="B20" s="4" t="s">
        <v>12</v>
      </c>
      <c r="C20" s="10" t="s">
        <v>14</v>
      </c>
      <c r="D20" s="9">
        <v>4000</v>
      </c>
      <c r="E20" s="209">
        <v>1</v>
      </c>
      <c r="F20" s="188">
        <v>5000</v>
      </c>
      <c r="G20" s="210">
        <f t="shared" ref="G20:G39" si="25">E20*F20</f>
        <v>5000</v>
      </c>
      <c r="H20" s="226">
        <v>1</v>
      </c>
      <c r="I20" s="224">
        <f t="shared" ref="I20:I39" si="26" xml:space="preserve"> F20*(1+$I$1)</f>
        <v>5150</v>
      </c>
      <c r="J20" s="210">
        <f t="shared" ref="J20:J39" si="27">H20*I20</f>
        <v>5150</v>
      </c>
      <c r="K20" s="226">
        <v>1</v>
      </c>
      <c r="L20" s="224">
        <f t="shared" si="22"/>
        <v>5253</v>
      </c>
      <c r="M20" s="210">
        <f t="shared" ref="M20:M39" si="28">K20*L20</f>
        <v>5253</v>
      </c>
      <c r="N20" s="226">
        <v>1</v>
      </c>
      <c r="O20" s="224">
        <f t="shared" si="23"/>
        <v>5436.8549999999996</v>
      </c>
      <c r="P20" s="210">
        <f t="shared" ref="P20:P39" si="29">N20*O20</f>
        <v>5436.8549999999996</v>
      </c>
      <c r="Q20" s="226">
        <v>1</v>
      </c>
      <c r="R20" s="224">
        <f t="shared" si="24"/>
        <v>5572.7763749999995</v>
      </c>
      <c r="S20" s="210">
        <f t="shared" ref="S20:S39" si="30">Q20*R20</f>
        <v>5572.7763749999995</v>
      </c>
      <c r="T20" s="226">
        <v>1</v>
      </c>
      <c r="U20" s="224">
        <f t="shared" ref="U20:U39" si="31" xml:space="preserve"> R20*(1+$U$1)</f>
        <v>5712.0957843749993</v>
      </c>
      <c r="V20" s="210">
        <f t="shared" ref="V20:V39" si="32">T20*U20</f>
        <v>5712.0957843749993</v>
      </c>
    </row>
    <row r="21" spans="1:33" x14ac:dyDescent="0.3">
      <c r="A21" s="4" t="s">
        <v>13</v>
      </c>
      <c r="B21" s="4" t="s">
        <v>12</v>
      </c>
      <c r="C21" s="8" t="s">
        <v>204</v>
      </c>
      <c r="D21" s="9">
        <v>40000</v>
      </c>
      <c r="E21" s="209">
        <v>1</v>
      </c>
      <c r="F21" s="188">
        <v>8000</v>
      </c>
      <c r="G21" s="210">
        <f t="shared" si="25"/>
        <v>8000</v>
      </c>
      <c r="H21" s="226">
        <v>1</v>
      </c>
      <c r="I21" s="224">
        <f t="shared" si="26"/>
        <v>8240</v>
      </c>
      <c r="J21" s="210">
        <f t="shared" si="27"/>
        <v>8240</v>
      </c>
      <c r="K21" s="226">
        <v>1</v>
      </c>
      <c r="L21" s="224">
        <f t="shared" si="22"/>
        <v>8404.7999999999993</v>
      </c>
      <c r="M21" s="210">
        <f t="shared" si="28"/>
        <v>8404.7999999999993</v>
      </c>
      <c r="N21" s="226">
        <v>1</v>
      </c>
      <c r="O21" s="224">
        <f t="shared" si="23"/>
        <v>8698.9679999999989</v>
      </c>
      <c r="P21" s="210">
        <f t="shared" si="29"/>
        <v>8698.9679999999989</v>
      </c>
      <c r="Q21" s="226">
        <v>1</v>
      </c>
      <c r="R21" s="224">
        <f t="shared" si="24"/>
        <v>8916.4421999999977</v>
      </c>
      <c r="S21" s="210">
        <f t="shared" si="30"/>
        <v>8916.4421999999977</v>
      </c>
      <c r="T21" s="226">
        <v>1</v>
      </c>
      <c r="U21" s="224">
        <f t="shared" si="31"/>
        <v>9139.3532549999964</v>
      </c>
      <c r="V21" s="210">
        <f t="shared" si="32"/>
        <v>9139.3532549999964</v>
      </c>
      <c r="W21" s="4" t="s">
        <v>37</v>
      </c>
    </row>
    <row r="22" spans="1:33" x14ac:dyDescent="0.3">
      <c r="A22" s="4" t="s">
        <v>13</v>
      </c>
      <c r="B22" s="4" t="s">
        <v>12</v>
      </c>
      <c r="C22" s="10" t="s">
        <v>205</v>
      </c>
      <c r="D22" s="9">
        <v>10000</v>
      </c>
      <c r="E22" s="209">
        <v>1</v>
      </c>
      <c r="F22" s="188">
        <v>4500</v>
      </c>
      <c r="G22" s="210">
        <f t="shared" si="25"/>
        <v>4500</v>
      </c>
      <c r="H22" s="226">
        <v>1</v>
      </c>
      <c r="I22" s="224">
        <f t="shared" si="26"/>
        <v>4635</v>
      </c>
      <c r="J22" s="210">
        <f t="shared" si="27"/>
        <v>4635</v>
      </c>
      <c r="K22" s="226">
        <v>1</v>
      </c>
      <c r="L22" s="224">
        <f t="shared" si="22"/>
        <v>4727.7</v>
      </c>
      <c r="M22" s="210">
        <f t="shared" si="28"/>
        <v>4727.7</v>
      </c>
      <c r="N22" s="226">
        <v>1</v>
      </c>
      <c r="O22" s="224">
        <f t="shared" si="23"/>
        <v>4893.1694999999991</v>
      </c>
      <c r="P22" s="210">
        <f t="shared" si="29"/>
        <v>4893.1694999999991</v>
      </c>
      <c r="Q22" s="226">
        <v>1</v>
      </c>
      <c r="R22" s="224">
        <f t="shared" si="24"/>
        <v>5015.4987374999982</v>
      </c>
      <c r="S22" s="210">
        <f t="shared" si="30"/>
        <v>5015.4987374999982</v>
      </c>
      <c r="T22" s="226">
        <v>1</v>
      </c>
      <c r="U22" s="224">
        <f t="shared" si="31"/>
        <v>5140.8862059374978</v>
      </c>
      <c r="V22" s="210">
        <f t="shared" si="32"/>
        <v>5140.8862059374978</v>
      </c>
    </row>
    <row r="23" spans="1:33" x14ac:dyDescent="0.3">
      <c r="A23" s="4" t="s">
        <v>13</v>
      </c>
      <c r="B23" s="4" t="s">
        <v>12</v>
      </c>
      <c r="C23" s="8" t="s">
        <v>203</v>
      </c>
      <c r="D23" s="9">
        <v>5000</v>
      </c>
      <c r="E23" s="209">
        <v>1</v>
      </c>
      <c r="F23" s="188">
        <v>4500</v>
      </c>
      <c r="G23" s="210">
        <f t="shared" si="25"/>
        <v>4500</v>
      </c>
      <c r="H23" s="226">
        <v>1</v>
      </c>
      <c r="I23" s="224">
        <f t="shared" si="26"/>
        <v>4635</v>
      </c>
      <c r="J23" s="210">
        <f t="shared" si="27"/>
        <v>4635</v>
      </c>
      <c r="K23" s="226">
        <v>1</v>
      </c>
      <c r="L23" s="224">
        <f t="shared" si="22"/>
        <v>4727.7</v>
      </c>
      <c r="M23" s="210">
        <f t="shared" si="28"/>
        <v>4727.7</v>
      </c>
      <c r="N23" s="226">
        <v>1</v>
      </c>
      <c r="O23" s="224">
        <f t="shared" si="23"/>
        <v>4893.1694999999991</v>
      </c>
      <c r="P23" s="210">
        <f t="shared" si="29"/>
        <v>4893.1694999999991</v>
      </c>
      <c r="Q23" s="226">
        <v>1</v>
      </c>
      <c r="R23" s="224">
        <f t="shared" si="24"/>
        <v>5015.4987374999982</v>
      </c>
      <c r="S23" s="210">
        <f t="shared" si="30"/>
        <v>5015.4987374999982</v>
      </c>
      <c r="T23" s="226">
        <v>1</v>
      </c>
      <c r="U23" s="224">
        <f t="shared" si="31"/>
        <v>5140.8862059374978</v>
      </c>
      <c r="V23" s="210">
        <f t="shared" si="32"/>
        <v>5140.8862059374978</v>
      </c>
    </row>
    <row r="24" spans="1:33" x14ac:dyDescent="0.3">
      <c r="A24" s="4" t="s">
        <v>13</v>
      </c>
      <c r="B24" s="4" t="s">
        <v>12</v>
      </c>
      <c r="C24" s="10" t="s">
        <v>203</v>
      </c>
      <c r="D24" s="9">
        <v>3000</v>
      </c>
      <c r="E24" s="209">
        <v>1</v>
      </c>
      <c r="F24" s="188">
        <v>4500</v>
      </c>
      <c r="G24" s="210">
        <f t="shared" si="25"/>
        <v>4500</v>
      </c>
      <c r="H24" s="226">
        <v>1</v>
      </c>
      <c r="I24" s="224">
        <f t="shared" si="26"/>
        <v>4635</v>
      </c>
      <c r="J24" s="210">
        <f t="shared" si="27"/>
        <v>4635</v>
      </c>
      <c r="K24" s="226">
        <v>1</v>
      </c>
      <c r="L24" s="224">
        <f t="shared" si="22"/>
        <v>4727.7</v>
      </c>
      <c r="M24" s="210">
        <f t="shared" si="28"/>
        <v>4727.7</v>
      </c>
      <c r="N24" s="226">
        <v>1</v>
      </c>
      <c r="O24" s="224">
        <f t="shared" si="23"/>
        <v>4893.1694999999991</v>
      </c>
      <c r="P24" s="210">
        <f t="shared" si="29"/>
        <v>4893.1694999999991</v>
      </c>
      <c r="Q24" s="226">
        <v>1</v>
      </c>
      <c r="R24" s="224">
        <f t="shared" si="24"/>
        <v>5015.4987374999982</v>
      </c>
      <c r="S24" s="210">
        <f t="shared" si="30"/>
        <v>5015.4987374999982</v>
      </c>
      <c r="T24" s="226">
        <v>1</v>
      </c>
      <c r="U24" s="224">
        <f t="shared" si="31"/>
        <v>5140.8862059374978</v>
      </c>
      <c r="V24" s="210">
        <f t="shared" si="32"/>
        <v>5140.8862059374978</v>
      </c>
    </row>
    <row r="25" spans="1:33" x14ac:dyDescent="0.3">
      <c r="A25" s="4" t="s">
        <v>13</v>
      </c>
      <c r="B25" s="4" t="s">
        <v>12</v>
      </c>
      <c r="C25" s="10" t="s">
        <v>203</v>
      </c>
      <c r="D25" s="9">
        <v>2500</v>
      </c>
      <c r="E25" s="209">
        <v>1</v>
      </c>
      <c r="F25" s="188">
        <v>4500</v>
      </c>
      <c r="G25" s="210">
        <f t="shared" si="25"/>
        <v>4500</v>
      </c>
      <c r="H25" s="226">
        <v>1</v>
      </c>
      <c r="I25" s="224">
        <f t="shared" si="26"/>
        <v>4635</v>
      </c>
      <c r="J25" s="210">
        <f t="shared" si="27"/>
        <v>4635</v>
      </c>
      <c r="K25" s="226">
        <v>1</v>
      </c>
      <c r="L25" s="224">
        <f t="shared" si="22"/>
        <v>4727.7</v>
      </c>
      <c r="M25" s="210">
        <f t="shared" si="28"/>
        <v>4727.7</v>
      </c>
      <c r="N25" s="226">
        <v>1</v>
      </c>
      <c r="O25" s="224">
        <f t="shared" si="23"/>
        <v>4893.1694999999991</v>
      </c>
      <c r="P25" s="210">
        <f t="shared" si="29"/>
        <v>4893.1694999999991</v>
      </c>
      <c r="Q25" s="226">
        <v>1</v>
      </c>
      <c r="R25" s="224">
        <f t="shared" si="24"/>
        <v>5015.4987374999982</v>
      </c>
      <c r="S25" s="210">
        <f t="shared" si="30"/>
        <v>5015.4987374999982</v>
      </c>
      <c r="T25" s="226">
        <v>1</v>
      </c>
      <c r="U25" s="224">
        <f t="shared" si="31"/>
        <v>5140.8862059374978</v>
      </c>
      <c r="V25" s="210">
        <f t="shared" si="32"/>
        <v>5140.8862059374978</v>
      </c>
    </row>
    <row r="26" spans="1:33" x14ac:dyDescent="0.3">
      <c r="A26" s="4" t="s">
        <v>13</v>
      </c>
      <c r="B26" s="4" t="s">
        <v>12</v>
      </c>
      <c r="C26" s="10" t="s">
        <v>82</v>
      </c>
      <c r="D26" s="5">
        <v>3500</v>
      </c>
      <c r="E26" s="211">
        <v>34</v>
      </c>
      <c r="F26" s="212">
        <v>3000</v>
      </c>
      <c r="G26" s="210">
        <f t="shared" si="25"/>
        <v>102000</v>
      </c>
      <c r="H26" s="226">
        <v>25</v>
      </c>
      <c r="I26" s="224">
        <f t="shared" si="26"/>
        <v>3090</v>
      </c>
      <c r="J26" s="210">
        <f t="shared" si="27"/>
        <v>77250</v>
      </c>
      <c r="K26" s="226">
        <v>25</v>
      </c>
      <c r="L26" s="224">
        <f t="shared" si="22"/>
        <v>3151.8</v>
      </c>
      <c r="M26" s="210">
        <f t="shared" si="28"/>
        <v>78795</v>
      </c>
      <c r="N26" s="226">
        <v>33</v>
      </c>
      <c r="O26" s="224">
        <f t="shared" si="23"/>
        <v>3262.1129999999998</v>
      </c>
      <c r="P26" s="210">
        <f t="shared" si="29"/>
        <v>107649.72899999999</v>
      </c>
      <c r="Q26" s="226">
        <v>26</v>
      </c>
      <c r="R26" s="224">
        <f t="shared" si="24"/>
        <v>3343.6658249999996</v>
      </c>
      <c r="S26" s="210">
        <f t="shared" si="30"/>
        <v>86935.311449999994</v>
      </c>
      <c r="T26" s="226">
        <v>26</v>
      </c>
      <c r="U26" s="224">
        <f t="shared" si="31"/>
        <v>3427.2574706249993</v>
      </c>
      <c r="V26" s="210">
        <f t="shared" si="32"/>
        <v>89108.694236249983</v>
      </c>
    </row>
    <row r="27" spans="1:33" x14ac:dyDescent="0.3">
      <c r="A27" s="4" t="s">
        <v>13</v>
      </c>
      <c r="B27" s="4" t="s">
        <v>12</v>
      </c>
      <c r="C27" s="10" t="s">
        <v>82</v>
      </c>
      <c r="D27" s="9">
        <v>2000</v>
      </c>
      <c r="E27" s="209">
        <v>15</v>
      </c>
      <c r="F27" s="188">
        <v>2800</v>
      </c>
      <c r="G27" s="210">
        <f t="shared" si="25"/>
        <v>42000</v>
      </c>
      <c r="H27" s="226">
        <v>19</v>
      </c>
      <c r="I27" s="224">
        <f t="shared" si="26"/>
        <v>2884</v>
      </c>
      <c r="J27" s="210">
        <f t="shared" si="27"/>
        <v>54796</v>
      </c>
      <c r="K27" s="226">
        <v>19</v>
      </c>
      <c r="L27" s="224">
        <f t="shared" si="22"/>
        <v>2941.68</v>
      </c>
      <c r="M27" s="210">
        <f t="shared" si="28"/>
        <v>55891.92</v>
      </c>
      <c r="N27" s="226">
        <v>15</v>
      </c>
      <c r="O27" s="224">
        <f t="shared" si="23"/>
        <v>3044.6387999999997</v>
      </c>
      <c r="P27" s="210">
        <f t="shared" si="29"/>
        <v>45669.581999999995</v>
      </c>
      <c r="Q27" s="226">
        <v>21</v>
      </c>
      <c r="R27" s="224">
        <f t="shared" si="24"/>
        <v>3120.7547699999996</v>
      </c>
      <c r="S27" s="210">
        <f t="shared" si="30"/>
        <v>65535.850169999991</v>
      </c>
      <c r="T27" s="226">
        <v>21</v>
      </c>
      <c r="U27" s="224">
        <f t="shared" si="31"/>
        <v>3198.7736392499992</v>
      </c>
      <c r="V27" s="210">
        <f t="shared" si="32"/>
        <v>67174.246424249985</v>
      </c>
    </row>
    <row r="28" spans="1:33" x14ac:dyDescent="0.3">
      <c r="A28" s="4" t="s">
        <v>13</v>
      </c>
      <c r="B28" s="4" t="s">
        <v>12</v>
      </c>
      <c r="C28" s="10" t="s">
        <v>82</v>
      </c>
      <c r="D28" s="9">
        <v>2500</v>
      </c>
      <c r="E28" s="209">
        <v>10</v>
      </c>
      <c r="F28" s="188">
        <v>2700</v>
      </c>
      <c r="G28" s="210">
        <f t="shared" si="25"/>
        <v>27000</v>
      </c>
      <c r="H28" s="226">
        <v>13</v>
      </c>
      <c r="I28" s="224">
        <f t="shared" si="26"/>
        <v>2781</v>
      </c>
      <c r="J28" s="210">
        <f t="shared" si="27"/>
        <v>36153</v>
      </c>
      <c r="K28" s="226">
        <v>13</v>
      </c>
      <c r="L28" s="224">
        <f t="shared" si="22"/>
        <v>2836.62</v>
      </c>
      <c r="M28" s="210">
        <f t="shared" si="28"/>
        <v>36876.06</v>
      </c>
      <c r="N28" s="226">
        <v>11</v>
      </c>
      <c r="O28" s="224">
        <f t="shared" si="23"/>
        <v>2935.9016999999994</v>
      </c>
      <c r="P28" s="210">
        <f t="shared" si="29"/>
        <v>32294.918699999995</v>
      </c>
      <c r="Q28" s="226">
        <v>12</v>
      </c>
      <c r="R28" s="224">
        <f t="shared" si="24"/>
        <v>3009.2992424999993</v>
      </c>
      <c r="S28" s="210">
        <f t="shared" si="30"/>
        <v>36111.590909999992</v>
      </c>
      <c r="T28" s="226">
        <v>12</v>
      </c>
      <c r="U28" s="224">
        <f t="shared" si="31"/>
        <v>3084.5317235624989</v>
      </c>
      <c r="V28" s="210">
        <f t="shared" si="32"/>
        <v>37014.380682749987</v>
      </c>
    </row>
    <row r="29" spans="1:33" x14ac:dyDescent="0.3">
      <c r="A29" s="4" t="s">
        <v>13</v>
      </c>
      <c r="B29" s="4" t="s">
        <v>12</v>
      </c>
      <c r="C29" s="10" t="s">
        <v>82</v>
      </c>
      <c r="D29" s="9">
        <v>5000</v>
      </c>
      <c r="E29" s="209">
        <v>5</v>
      </c>
      <c r="F29" s="188">
        <v>2600</v>
      </c>
      <c r="G29" s="210">
        <f t="shared" si="25"/>
        <v>13000</v>
      </c>
      <c r="H29" s="226">
        <v>7</v>
      </c>
      <c r="I29" s="224">
        <f t="shared" si="26"/>
        <v>2678</v>
      </c>
      <c r="J29" s="210">
        <f t="shared" si="27"/>
        <v>18746</v>
      </c>
      <c r="K29" s="226">
        <v>7</v>
      </c>
      <c r="L29" s="224">
        <f t="shared" si="22"/>
        <v>2731.56</v>
      </c>
      <c r="M29" s="210">
        <f t="shared" si="28"/>
        <v>19120.919999999998</v>
      </c>
      <c r="N29" s="226">
        <v>5</v>
      </c>
      <c r="O29" s="224">
        <f t="shared" si="23"/>
        <v>2827.1645999999996</v>
      </c>
      <c r="P29" s="210">
        <f t="shared" si="29"/>
        <v>14135.822999999999</v>
      </c>
      <c r="Q29" s="226">
        <v>5</v>
      </c>
      <c r="R29" s="224">
        <f t="shared" si="24"/>
        <v>2897.8437149999995</v>
      </c>
      <c r="S29" s="210">
        <f t="shared" si="30"/>
        <v>14489.218574999997</v>
      </c>
      <c r="T29" s="226">
        <v>5</v>
      </c>
      <c r="U29" s="224">
        <f t="shared" si="31"/>
        <v>2970.289807874999</v>
      </c>
      <c r="V29" s="210">
        <f t="shared" si="32"/>
        <v>14851.449039374995</v>
      </c>
    </row>
    <row r="30" spans="1:33" x14ac:dyDescent="0.3">
      <c r="A30" s="4" t="s">
        <v>13</v>
      </c>
      <c r="B30" s="4" t="s">
        <v>12</v>
      </c>
      <c r="C30" s="10" t="s">
        <v>82</v>
      </c>
      <c r="D30" s="9">
        <v>1500</v>
      </c>
      <c r="E30" s="209">
        <v>2</v>
      </c>
      <c r="F30" s="188">
        <v>2500</v>
      </c>
      <c r="G30" s="210">
        <f t="shared" si="25"/>
        <v>5000</v>
      </c>
      <c r="H30" s="226">
        <v>3</v>
      </c>
      <c r="I30" s="224">
        <f t="shared" si="26"/>
        <v>2575</v>
      </c>
      <c r="J30" s="210">
        <f t="shared" si="27"/>
        <v>7725</v>
      </c>
      <c r="K30" s="226">
        <v>3</v>
      </c>
      <c r="L30" s="224">
        <f t="shared" si="22"/>
        <v>2626.5</v>
      </c>
      <c r="M30" s="210">
        <f t="shared" si="28"/>
        <v>7879.5</v>
      </c>
      <c r="N30" s="226">
        <v>3</v>
      </c>
      <c r="O30" s="224">
        <f t="shared" si="23"/>
        <v>2718.4274999999998</v>
      </c>
      <c r="P30" s="210">
        <f t="shared" si="29"/>
        <v>8155.2824999999993</v>
      </c>
      <c r="Q30" s="226">
        <v>3</v>
      </c>
      <c r="R30" s="224">
        <f t="shared" si="24"/>
        <v>2786.3881874999997</v>
      </c>
      <c r="S30" s="210">
        <f t="shared" si="30"/>
        <v>8359.1645624999983</v>
      </c>
      <c r="T30" s="226">
        <v>3</v>
      </c>
      <c r="U30" s="224">
        <f t="shared" si="31"/>
        <v>2856.0478921874997</v>
      </c>
      <c r="V30" s="210">
        <f t="shared" si="32"/>
        <v>8568.1436765624985</v>
      </c>
      <c r="W30" s="114"/>
      <c r="X30" s="51"/>
      <c r="Y30" s="51"/>
      <c r="Z30" s="14"/>
      <c r="AA30" s="14"/>
      <c r="AB30" s="14"/>
      <c r="AC30" s="14"/>
    </row>
    <row r="31" spans="1:33" x14ac:dyDescent="0.3">
      <c r="A31" s="4" t="s">
        <v>13</v>
      </c>
      <c r="B31" s="4" t="s">
        <v>12</v>
      </c>
      <c r="C31" s="10" t="s">
        <v>82</v>
      </c>
      <c r="D31" s="9">
        <v>57600</v>
      </c>
      <c r="E31" s="209">
        <v>2</v>
      </c>
      <c r="F31" s="188">
        <v>2500</v>
      </c>
      <c r="G31" s="210">
        <f t="shared" si="25"/>
        <v>5000</v>
      </c>
      <c r="H31" s="226">
        <v>1</v>
      </c>
      <c r="I31" s="224">
        <f t="shared" si="26"/>
        <v>2575</v>
      </c>
      <c r="J31" s="210">
        <f t="shared" si="27"/>
        <v>2575</v>
      </c>
      <c r="K31" s="226">
        <v>1</v>
      </c>
      <c r="L31" s="224">
        <f t="shared" si="22"/>
        <v>2626.5</v>
      </c>
      <c r="M31" s="210">
        <f t="shared" si="28"/>
        <v>2626.5</v>
      </c>
      <c r="N31" s="226">
        <v>1</v>
      </c>
      <c r="O31" s="224">
        <f t="shared" si="23"/>
        <v>2718.4274999999998</v>
      </c>
      <c r="P31" s="210">
        <f t="shared" si="29"/>
        <v>2718.4274999999998</v>
      </c>
      <c r="Q31" s="226">
        <v>1</v>
      </c>
      <c r="R31" s="224">
        <f t="shared" si="24"/>
        <v>2786.3881874999997</v>
      </c>
      <c r="S31" s="210">
        <f t="shared" si="30"/>
        <v>2786.3881874999997</v>
      </c>
      <c r="T31" s="226">
        <v>1</v>
      </c>
      <c r="U31" s="224">
        <f t="shared" si="31"/>
        <v>2856.0478921874997</v>
      </c>
      <c r="V31" s="210">
        <f t="shared" si="32"/>
        <v>2856.0478921874997</v>
      </c>
      <c r="W31" s="114"/>
      <c r="X31" s="51"/>
      <c r="Y31" s="25"/>
      <c r="Z31" s="25"/>
      <c r="AA31" s="14"/>
      <c r="AB31" s="14"/>
      <c r="AC31" s="14"/>
    </row>
    <row r="32" spans="1:33" x14ac:dyDescent="0.3">
      <c r="A32" s="4" t="s">
        <v>13</v>
      </c>
      <c r="B32" s="4" t="s">
        <v>12</v>
      </c>
      <c r="C32" s="10" t="s">
        <v>206</v>
      </c>
      <c r="D32" s="9">
        <v>5000</v>
      </c>
      <c r="E32" s="209">
        <v>1</v>
      </c>
      <c r="F32" s="188">
        <v>3700</v>
      </c>
      <c r="G32" s="210">
        <f t="shared" si="25"/>
        <v>3700</v>
      </c>
      <c r="H32" s="226">
        <v>1</v>
      </c>
      <c r="I32" s="224">
        <f t="shared" si="26"/>
        <v>3811</v>
      </c>
      <c r="J32" s="210">
        <f t="shared" si="27"/>
        <v>3811</v>
      </c>
      <c r="K32" s="226">
        <v>1</v>
      </c>
      <c r="L32" s="224">
        <f t="shared" si="22"/>
        <v>3887.2200000000003</v>
      </c>
      <c r="M32" s="210">
        <f t="shared" si="28"/>
        <v>3887.2200000000003</v>
      </c>
      <c r="N32" s="226">
        <v>1</v>
      </c>
      <c r="O32" s="224">
        <f t="shared" si="23"/>
        <v>4023.2727</v>
      </c>
      <c r="P32" s="210">
        <f t="shared" si="29"/>
        <v>4023.2727</v>
      </c>
      <c r="Q32" s="226">
        <v>1</v>
      </c>
      <c r="R32" s="224">
        <f t="shared" si="24"/>
        <v>4123.8545174999999</v>
      </c>
      <c r="S32" s="210">
        <f t="shared" si="30"/>
        <v>4123.8545174999999</v>
      </c>
      <c r="T32" s="226">
        <v>1</v>
      </c>
      <c r="U32" s="224">
        <f t="shared" si="31"/>
        <v>4226.9508804374991</v>
      </c>
      <c r="V32" s="210">
        <f t="shared" si="32"/>
        <v>4226.9508804374991</v>
      </c>
      <c r="W32" s="114"/>
      <c r="X32" s="51"/>
      <c r="Y32" s="25"/>
      <c r="Z32" s="25"/>
      <c r="AA32" s="14"/>
      <c r="AB32" s="14"/>
      <c r="AC32" s="14"/>
    </row>
    <row r="33" spans="1:29" x14ac:dyDescent="0.3">
      <c r="A33" s="4" t="s">
        <v>13</v>
      </c>
      <c r="B33" s="4" t="s">
        <v>12</v>
      </c>
      <c r="C33" s="10" t="s">
        <v>15</v>
      </c>
      <c r="D33" s="9">
        <v>5500</v>
      </c>
      <c r="E33" s="209">
        <v>1</v>
      </c>
      <c r="F33" s="188">
        <v>4000</v>
      </c>
      <c r="G33" s="210">
        <f t="shared" si="25"/>
        <v>4000</v>
      </c>
      <c r="H33" s="226">
        <v>1</v>
      </c>
      <c r="I33" s="224">
        <f t="shared" si="26"/>
        <v>4120</v>
      </c>
      <c r="J33" s="210">
        <f t="shared" si="27"/>
        <v>4120</v>
      </c>
      <c r="K33" s="226">
        <v>1</v>
      </c>
      <c r="L33" s="224">
        <f t="shared" si="22"/>
        <v>4202.3999999999996</v>
      </c>
      <c r="M33" s="210">
        <f t="shared" si="28"/>
        <v>4202.3999999999996</v>
      </c>
      <c r="N33" s="226">
        <v>1</v>
      </c>
      <c r="O33" s="224">
        <f t="shared" si="23"/>
        <v>4349.4839999999995</v>
      </c>
      <c r="P33" s="210">
        <f t="shared" si="29"/>
        <v>4349.4839999999995</v>
      </c>
      <c r="Q33" s="226">
        <v>1</v>
      </c>
      <c r="R33" s="224">
        <f t="shared" si="24"/>
        <v>4458.2210999999988</v>
      </c>
      <c r="S33" s="210">
        <f t="shared" si="30"/>
        <v>4458.2210999999988</v>
      </c>
      <c r="T33" s="226">
        <v>1</v>
      </c>
      <c r="U33" s="224">
        <f t="shared" si="31"/>
        <v>4569.6766274999982</v>
      </c>
      <c r="V33" s="210">
        <f t="shared" si="32"/>
        <v>4569.6766274999982</v>
      </c>
      <c r="W33" s="114"/>
      <c r="X33" s="51"/>
      <c r="Y33" s="25"/>
      <c r="Z33" s="25"/>
      <c r="AA33" s="14"/>
      <c r="AB33" s="14"/>
      <c r="AC33" s="14"/>
    </row>
    <row r="34" spans="1:29" x14ac:dyDescent="0.3">
      <c r="A34" s="4" t="s">
        <v>13</v>
      </c>
      <c r="B34" s="4" t="s">
        <v>12</v>
      </c>
      <c r="C34" s="8" t="s">
        <v>16</v>
      </c>
      <c r="D34" s="9">
        <v>3750</v>
      </c>
      <c r="E34" s="209">
        <v>4</v>
      </c>
      <c r="F34" s="188">
        <v>4000</v>
      </c>
      <c r="G34" s="210">
        <f t="shared" si="25"/>
        <v>16000</v>
      </c>
      <c r="H34" s="226">
        <v>4</v>
      </c>
      <c r="I34" s="224">
        <f t="shared" si="26"/>
        <v>4120</v>
      </c>
      <c r="J34" s="210">
        <f t="shared" si="27"/>
        <v>16480</v>
      </c>
      <c r="K34" s="226">
        <v>4</v>
      </c>
      <c r="L34" s="224">
        <f t="shared" si="22"/>
        <v>4202.3999999999996</v>
      </c>
      <c r="M34" s="210">
        <f t="shared" si="28"/>
        <v>16809.599999999999</v>
      </c>
      <c r="N34" s="226">
        <v>4</v>
      </c>
      <c r="O34" s="224">
        <f t="shared" si="23"/>
        <v>4349.4839999999995</v>
      </c>
      <c r="P34" s="210">
        <f t="shared" si="29"/>
        <v>17397.935999999998</v>
      </c>
      <c r="Q34" s="226">
        <v>4</v>
      </c>
      <c r="R34" s="224">
        <f t="shared" si="24"/>
        <v>4458.2210999999988</v>
      </c>
      <c r="S34" s="210">
        <f t="shared" si="30"/>
        <v>17832.884399999995</v>
      </c>
      <c r="T34" s="226">
        <v>4</v>
      </c>
      <c r="U34" s="224">
        <f t="shared" si="31"/>
        <v>4569.6766274999982</v>
      </c>
      <c r="V34" s="210">
        <f t="shared" si="32"/>
        <v>18278.706509999993</v>
      </c>
      <c r="W34" s="114"/>
      <c r="X34" s="51"/>
      <c r="Y34" s="25"/>
      <c r="Z34" s="25"/>
      <c r="AA34" s="14"/>
      <c r="AB34" s="14"/>
      <c r="AC34" s="14"/>
    </row>
    <row r="35" spans="1:29" x14ac:dyDescent="0.3">
      <c r="A35" s="4" t="s">
        <v>13</v>
      </c>
      <c r="B35" s="4" t="s">
        <v>12</v>
      </c>
      <c r="C35" s="8" t="s">
        <v>50</v>
      </c>
      <c r="D35" s="9">
        <v>10000</v>
      </c>
      <c r="E35" s="209">
        <v>8</v>
      </c>
      <c r="F35" s="188">
        <v>5500</v>
      </c>
      <c r="G35" s="210">
        <f t="shared" si="25"/>
        <v>44000</v>
      </c>
      <c r="H35" s="226">
        <v>8</v>
      </c>
      <c r="I35" s="224">
        <f t="shared" si="26"/>
        <v>5665</v>
      </c>
      <c r="J35" s="210">
        <f t="shared" si="27"/>
        <v>45320</v>
      </c>
      <c r="K35" s="226">
        <v>8</v>
      </c>
      <c r="L35" s="224">
        <f t="shared" si="22"/>
        <v>5778.3</v>
      </c>
      <c r="M35" s="210">
        <f t="shared" si="28"/>
        <v>46226.400000000001</v>
      </c>
      <c r="N35" s="226">
        <v>8</v>
      </c>
      <c r="O35" s="224">
        <f t="shared" si="23"/>
        <v>5980.5405000000001</v>
      </c>
      <c r="P35" s="210">
        <f t="shared" si="29"/>
        <v>47844.324000000001</v>
      </c>
      <c r="Q35" s="226">
        <v>8</v>
      </c>
      <c r="R35" s="224">
        <f t="shared" si="24"/>
        <v>6130.0540124999998</v>
      </c>
      <c r="S35" s="210">
        <f t="shared" si="30"/>
        <v>49040.432099999998</v>
      </c>
      <c r="T35" s="226">
        <v>8</v>
      </c>
      <c r="U35" s="224">
        <f t="shared" si="31"/>
        <v>6283.305362812499</v>
      </c>
      <c r="V35" s="210">
        <f t="shared" si="32"/>
        <v>50266.442902499992</v>
      </c>
      <c r="W35" s="114"/>
      <c r="X35" s="51"/>
      <c r="Y35" s="25"/>
      <c r="Z35" s="25"/>
      <c r="AA35" s="14"/>
      <c r="AB35" s="14"/>
      <c r="AC35" s="14"/>
    </row>
    <row r="36" spans="1:29" x14ac:dyDescent="0.3">
      <c r="A36" s="4" t="s">
        <v>13</v>
      </c>
      <c r="B36" s="4" t="s">
        <v>12</v>
      </c>
      <c r="C36" s="8" t="s">
        <v>51</v>
      </c>
      <c r="D36" s="9">
        <v>4000</v>
      </c>
      <c r="E36" s="209">
        <v>4</v>
      </c>
      <c r="F36" s="188">
        <v>2500</v>
      </c>
      <c r="G36" s="210">
        <f t="shared" si="25"/>
        <v>10000</v>
      </c>
      <c r="H36" s="226">
        <v>4</v>
      </c>
      <c r="I36" s="224">
        <f t="shared" si="26"/>
        <v>2575</v>
      </c>
      <c r="J36" s="210">
        <f t="shared" si="27"/>
        <v>10300</v>
      </c>
      <c r="K36" s="226">
        <v>4</v>
      </c>
      <c r="L36" s="224">
        <f t="shared" si="22"/>
        <v>2626.5</v>
      </c>
      <c r="M36" s="210">
        <f t="shared" si="28"/>
        <v>10506</v>
      </c>
      <c r="N36" s="226">
        <v>4</v>
      </c>
      <c r="O36" s="224">
        <f t="shared" si="23"/>
        <v>2718.4274999999998</v>
      </c>
      <c r="P36" s="210">
        <f t="shared" si="29"/>
        <v>10873.71</v>
      </c>
      <c r="Q36" s="226">
        <v>4</v>
      </c>
      <c r="R36" s="224">
        <f t="shared" si="24"/>
        <v>2786.3881874999997</v>
      </c>
      <c r="S36" s="210">
        <f t="shared" si="30"/>
        <v>11145.552749999999</v>
      </c>
      <c r="T36" s="226">
        <v>4</v>
      </c>
      <c r="U36" s="224">
        <f t="shared" si="31"/>
        <v>2856.0478921874997</v>
      </c>
      <c r="V36" s="210">
        <f t="shared" si="32"/>
        <v>11424.191568749999</v>
      </c>
      <c r="W36" s="114"/>
      <c r="X36" s="51"/>
      <c r="Y36" s="25"/>
      <c r="Z36" s="25"/>
      <c r="AA36" s="14"/>
      <c r="AB36" s="14"/>
      <c r="AC36" s="14"/>
    </row>
    <row r="37" spans="1:29" x14ac:dyDescent="0.3">
      <c r="A37" s="4" t="s">
        <v>13</v>
      </c>
      <c r="B37" s="4" t="s">
        <v>12</v>
      </c>
      <c r="C37" s="8" t="s">
        <v>49</v>
      </c>
      <c r="D37" s="9">
        <v>2500</v>
      </c>
      <c r="E37" s="209">
        <v>2</v>
      </c>
      <c r="F37" s="188">
        <v>5000</v>
      </c>
      <c r="G37" s="210">
        <f t="shared" si="25"/>
        <v>10000</v>
      </c>
      <c r="H37" s="226">
        <v>2</v>
      </c>
      <c r="I37" s="224">
        <f t="shared" si="26"/>
        <v>5150</v>
      </c>
      <c r="J37" s="210">
        <f t="shared" si="27"/>
        <v>10300</v>
      </c>
      <c r="K37" s="226">
        <v>2</v>
      </c>
      <c r="L37" s="224">
        <f t="shared" si="22"/>
        <v>5253</v>
      </c>
      <c r="M37" s="210">
        <f t="shared" si="28"/>
        <v>10506</v>
      </c>
      <c r="N37" s="226">
        <v>2</v>
      </c>
      <c r="O37" s="224">
        <f t="shared" si="23"/>
        <v>5436.8549999999996</v>
      </c>
      <c r="P37" s="210">
        <f t="shared" si="29"/>
        <v>10873.71</v>
      </c>
      <c r="Q37" s="226">
        <v>2</v>
      </c>
      <c r="R37" s="224">
        <f t="shared" si="24"/>
        <v>5572.7763749999995</v>
      </c>
      <c r="S37" s="210">
        <f t="shared" si="30"/>
        <v>11145.552749999999</v>
      </c>
      <c r="T37" s="226">
        <v>2</v>
      </c>
      <c r="U37" s="224">
        <f t="shared" si="31"/>
        <v>5712.0957843749993</v>
      </c>
      <c r="V37" s="210">
        <f t="shared" si="32"/>
        <v>11424.191568749999</v>
      </c>
      <c r="W37" s="114"/>
      <c r="X37" s="51"/>
      <c r="Y37" s="25"/>
      <c r="Z37" s="25"/>
      <c r="AA37" s="14"/>
      <c r="AB37" s="14"/>
      <c r="AC37" s="14"/>
    </row>
    <row r="38" spans="1:29" x14ac:dyDescent="0.3">
      <c r="A38" s="4" t="s">
        <v>13</v>
      </c>
      <c r="B38" s="4" t="s">
        <v>12</v>
      </c>
      <c r="C38" s="8" t="s">
        <v>17</v>
      </c>
      <c r="D38" s="9">
        <v>2400</v>
      </c>
      <c r="E38" s="209">
        <v>1</v>
      </c>
      <c r="F38" s="188">
        <v>1500</v>
      </c>
      <c r="G38" s="210">
        <f t="shared" si="25"/>
        <v>1500</v>
      </c>
      <c r="H38" s="226">
        <v>1</v>
      </c>
      <c r="I38" s="224">
        <f t="shared" si="26"/>
        <v>1545</v>
      </c>
      <c r="J38" s="210">
        <f t="shared" si="27"/>
        <v>1545</v>
      </c>
      <c r="K38" s="226">
        <v>1</v>
      </c>
      <c r="L38" s="224">
        <f t="shared" si="22"/>
        <v>1575.9</v>
      </c>
      <c r="M38" s="210">
        <f t="shared" si="28"/>
        <v>1575.9</v>
      </c>
      <c r="N38" s="226">
        <v>1</v>
      </c>
      <c r="O38" s="224">
        <f t="shared" si="23"/>
        <v>1631.0564999999999</v>
      </c>
      <c r="P38" s="210">
        <f t="shared" si="29"/>
        <v>1631.0564999999999</v>
      </c>
      <c r="Q38" s="226">
        <v>1</v>
      </c>
      <c r="R38" s="224">
        <f t="shared" si="24"/>
        <v>1671.8329124999998</v>
      </c>
      <c r="S38" s="210">
        <f t="shared" si="30"/>
        <v>1671.8329124999998</v>
      </c>
      <c r="T38" s="226">
        <v>1</v>
      </c>
      <c r="U38" s="224">
        <f t="shared" si="31"/>
        <v>1713.6287353124997</v>
      </c>
      <c r="V38" s="210">
        <f t="shared" si="32"/>
        <v>1713.6287353124997</v>
      </c>
      <c r="W38" s="114"/>
      <c r="X38" s="51"/>
      <c r="Y38" s="25"/>
      <c r="Z38" s="25"/>
      <c r="AA38" s="14"/>
      <c r="AB38" s="14"/>
      <c r="AC38" s="14"/>
    </row>
    <row r="39" spans="1:29" x14ac:dyDescent="0.3">
      <c r="A39" s="1" t="s">
        <v>13</v>
      </c>
      <c r="B39" s="1" t="s">
        <v>12</v>
      </c>
      <c r="C39" s="1" t="s">
        <v>18</v>
      </c>
      <c r="D39" s="29">
        <v>1200</v>
      </c>
      <c r="E39" s="209">
        <v>1</v>
      </c>
      <c r="F39" s="188">
        <v>1500</v>
      </c>
      <c r="G39" s="210">
        <f t="shared" si="25"/>
        <v>1500</v>
      </c>
      <c r="H39" s="226">
        <v>1</v>
      </c>
      <c r="I39" s="224">
        <f t="shared" si="26"/>
        <v>1545</v>
      </c>
      <c r="J39" s="210">
        <f t="shared" si="27"/>
        <v>1545</v>
      </c>
      <c r="K39" s="226">
        <v>1</v>
      </c>
      <c r="L39" s="224">
        <f t="shared" si="22"/>
        <v>1575.9</v>
      </c>
      <c r="M39" s="210">
        <f t="shared" si="28"/>
        <v>1575.9</v>
      </c>
      <c r="N39" s="226">
        <v>1</v>
      </c>
      <c r="O39" s="224">
        <f t="shared" si="23"/>
        <v>1631.0564999999999</v>
      </c>
      <c r="P39" s="210">
        <f t="shared" si="29"/>
        <v>1631.0564999999999</v>
      </c>
      <c r="Q39" s="226">
        <v>1</v>
      </c>
      <c r="R39" s="224">
        <f t="shared" si="24"/>
        <v>1671.8329124999998</v>
      </c>
      <c r="S39" s="210">
        <f t="shared" si="30"/>
        <v>1671.8329124999998</v>
      </c>
      <c r="T39" s="226">
        <v>1</v>
      </c>
      <c r="U39" s="224">
        <f t="shared" si="31"/>
        <v>1713.6287353124997</v>
      </c>
      <c r="V39" s="210">
        <f t="shared" si="32"/>
        <v>1713.6287353124997</v>
      </c>
      <c r="W39" s="114"/>
      <c r="X39" s="51"/>
      <c r="Y39" s="25"/>
      <c r="Z39" s="25"/>
      <c r="AA39" s="14"/>
      <c r="AB39" s="14"/>
      <c r="AC39" s="14"/>
    </row>
    <row r="40" spans="1:29" ht="15" thickBot="1" x14ac:dyDescent="0.35">
      <c r="A40" s="4" t="s">
        <v>32</v>
      </c>
      <c r="D40" s="6">
        <f>SUM(D21:D39)</f>
        <v>166950</v>
      </c>
      <c r="E40" s="213">
        <f>SUM(E21:E39)</f>
        <v>95</v>
      </c>
      <c r="F40" s="214"/>
      <c r="G40" s="215">
        <f>SUM(G21:G39)</f>
        <v>310700</v>
      </c>
      <c r="H40" s="213">
        <f>SUM(H21:H39)</f>
        <v>95</v>
      </c>
      <c r="I40" s="225"/>
      <c r="J40" s="215">
        <f t="shared" ref="J40:V40" si="33">SUM(J21:J39)</f>
        <v>317446</v>
      </c>
      <c r="K40" s="213">
        <f t="shared" si="33"/>
        <v>95</v>
      </c>
      <c r="L40" s="225">
        <f t="shared" si="33"/>
        <v>73331.88</v>
      </c>
      <c r="M40" s="215">
        <f t="shared" si="33"/>
        <v>323794.92000000004</v>
      </c>
      <c r="N40" s="213">
        <f t="shared" si="33"/>
        <v>95</v>
      </c>
      <c r="O40" s="225">
        <f t="shared" si="33"/>
        <v>75898.495800000004</v>
      </c>
      <c r="P40" s="215">
        <f t="shared" si="33"/>
        <v>337519.95840000006</v>
      </c>
      <c r="Q40" s="213">
        <f t="shared" si="33"/>
        <v>95</v>
      </c>
      <c r="R40" s="225">
        <f t="shared" si="33"/>
        <v>77795.95819499997</v>
      </c>
      <c r="S40" s="215">
        <f t="shared" si="33"/>
        <v>344286.12444749993</v>
      </c>
      <c r="T40" s="213">
        <f t="shared" si="33"/>
        <v>95</v>
      </c>
      <c r="U40" s="225">
        <f t="shared" si="33"/>
        <v>79740.857149874966</v>
      </c>
      <c r="V40" s="215">
        <f t="shared" si="33"/>
        <v>352893.27755868749</v>
      </c>
      <c r="W40" s="114"/>
      <c r="X40" s="51"/>
      <c r="Y40" s="51"/>
      <c r="Z40" s="25"/>
      <c r="AA40" s="51"/>
      <c r="AB40" s="51"/>
      <c r="AC40" s="51"/>
    </row>
    <row r="41" spans="1:29" x14ac:dyDescent="0.3">
      <c r="D41" s="6"/>
      <c r="E41" s="382"/>
      <c r="F41" s="382"/>
      <c r="G41" s="383"/>
      <c r="H41" s="384"/>
      <c r="I41" s="383"/>
      <c r="J41" s="383"/>
      <c r="K41" s="384"/>
      <c r="L41" s="383"/>
      <c r="M41" s="383"/>
      <c r="N41" s="384"/>
      <c r="O41" s="383"/>
      <c r="P41" s="383"/>
      <c r="Q41" s="384"/>
      <c r="R41" s="383"/>
      <c r="S41" s="383"/>
      <c r="T41" s="384"/>
      <c r="U41" s="383"/>
      <c r="V41" s="383"/>
      <c r="W41" s="114"/>
      <c r="X41" s="51"/>
      <c r="Y41" s="51"/>
      <c r="Z41" s="25"/>
      <c r="AA41" s="51"/>
      <c r="AB41" s="51"/>
      <c r="AC41" s="51"/>
    </row>
    <row r="42" spans="1:29" x14ac:dyDescent="0.3">
      <c r="A42" s="4" t="s">
        <v>327</v>
      </c>
      <c r="D42" s="6"/>
      <c r="E42" s="382"/>
      <c r="F42" s="382"/>
      <c r="G42" s="383">
        <f>G12+G17+G40</f>
        <v>667200</v>
      </c>
      <c r="H42" s="384"/>
      <c r="I42" s="383"/>
      <c r="J42" s="383">
        <f>J12+J17+J40</f>
        <v>684641</v>
      </c>
      <c r="K42" s="384"/>
      <c r="L42" s="383"/>
      <c r="M42" s="383">
        <f>M12+M17+M40</f>
        <v>698333.82000000007</v>
      </c>
      <c r="N42" s="384"/>
      <c r="O42" s="383"/>
      <c r="P42" s="383">
        <f>P12+P17+P40</f>
        <v>725167.71990000003</v>
      </c>
      <c r="Q42" s="384"/>
      <c r="R42" s="383"/>
      <c r="S42" s="383">
        <f>S12+S17+S40</f>
        <v>741625.07998499984</v>
      </c>
      <c r="T42" s="384"/>
      <c r="U42" s="383"/>
      <c r="V42" s="383">
        <f>V12+V17+V40</f>
        <v>760165.70698462497</v>
      </c>
      <c r="W42" s="114"/>
      <c r="X42" s="51"/>
      <c r="Y42" s="51"/>
      <c r="Z42" s="25"/>
      <c r="AA42" s="51"/>
      <c r="AB42" s="51"/>
      <c r="AC42" s="51"/>
    </row>
    <row r="43" spans="1:29" ht="15" thickBot="1" x14ac:dyDescent="0.35">
      <c r="A43"/>
      <c r="G43" s="24"/>
      <c r="H43" s="24"/>
      <c r="O43" s="4"/>
      <c r="P43" s="4"/>
      <c r="Q43" s="4"/>
      <c r="R43" s="4"/>
      <c r="S43" s="4"/>
      <c r="T43" s="4"/>
      <c r="U43" s="4"/>
      <c r="V43" s="4"/>
      <c r="W43" s="2"/>
      <c r="Y43"/>
    </row>
    <row r="44" spans="1:29" ht="18.600000000000001" thickBot="1" x14ac:dyDescent="0.4">
      <c r="B44" s="38"/>
      <c r="C44" s="35"/>
      <c r="D44" s="35"/>
      <c r="E44" s="55"/>
      <c r="F44" s="55"/>
      <c r="G44" s="35"/>
      <c r="H44" s="35"/>
      <c r="I44" s="369" t="s">
        <v>36</v>
      </c>
      <c r="J44" s="36"/>
      <c r="K44" s="36"/>
      <c r="L44" s="36"/>
      <c r="M44" s="36"/>
      <c r="N44" s="36"/>
      <c r="O44" s="37"/>
      <c r="P44" s="37"/>
      <c r="Q44" s="37"/>
      <c r="R44" s="37"/>
      <c r="S44" s="8"/>
      <c r="T44" s="37"/>
      <c r="U44" s="37"/>
      <c r="V44" s="8"/>
      <c r="W44" s="51"/>
      <c r="X44" s="51"/>
      <c r="Y44" s="14"/>
    </row>
    <row r="45" spans="1:29" ht="18" x14ac:dyDescent="0.35">
      <c r="A45" s="371"/>
      <c r="B45" s="34"/>
      <c r="C45" s="372"/>
      <c r="D45" s="372"/>
      <c r="E45" s="373"/>
      <c r="F45" s="373"/>
      <c r="G45" s="372"/>
      <c r="H45" s="372"/>
      <c r="I45" s="374"/>
      <c r="J45" s="374"/>
      <c r="K45" s="374"/>
      <c r="L45" s="374"/>
      <c r="M45" s="374"/>
      <c r="N45" s="374"/>
      <c r="O45" s="8"/>
      <c r="P45" s="8"/>
      <c r="Q45" s="8"/>
      <c r="R45" s="8"/>
      <c r="S45" s="8"/>
      <c r="T45" s="8"/>
      <c r="U45" s="8"/>
      <c r="V45" s="8"/>
      <c r="W45" s="51"/>
      <c r="X45" s="51"/>
      <c r="Y45" s="14"/>
    </row>
    <row r="46" spans="1:29" ht="18" x14ac:dyDescent="0.35">
      <c r="A46" s="371" t="s">
        <v>24</v>
      </c>
      <c r="B46" s="34"/>
      <c r="C46" s="372"/>
      <c r="D46" s="372"/>
      <c r="E46" s="373"/>
      <c r="F46" s="373"/>
      <c r="G46" s="372"/>
      <c r="H46" s="372"/>
      <c r="I46" s="374"/>
      <c r="J46" s="374"/>
      <c r="K46" s="374"/>
      <c r="L46" s="374"/>
      <c r="M46" s="374"/>
      <c r="N46" s="374"/>
      <c r="O46" s="8"/>
      <c r="P46" s="8"/>
      <c r="Q46" s="8"/>
      <c r="R46" s="8"/>
      <c r="S46" s="8"/>
      <c r="T46" s="8"/>
      <c r="U46" s="8"/>
      <c r="V46" s="8"/>
      <c r="W46" s="51"/>
      <c r="X46" s="51"/>
      <c r="Y46" s="14"/>
    </row>
    <row r="47" spans="1:29" x14ac:dyDescent="0.3">
      <c r="A47" s="4" t="s">
        <v>320</v>
      </c>
      <c r="B47" s="381">
        <v>0.01</v>
      </c>
      <c r="C47" s="372" t="s">
        <v>329</v>
      </c>
      <c r="D47" s="372"/>
      <c r="E47" s="373"/>
      <c r="F47" s="373"/>
      <c r="G47" s="229">
        <f>$B47*G$42</f>
        <v>6672</v>
      </c>
      <c r="H47" s="229"/>
      <c r="I47" s="229"/>
      <c r="J47" s="229">
        <f>$B47*J$42</f>
        <v>6846.41</v>
      </c>
      <c r="K47" s="229"/>
      <c r="L47" s="229"/>
      <c r="M47" s="229">
        <f>$B47*M$42</f>
        <v>6983.3382000000011</v>
      </c>
      <c r="N47" s="229"/>
      <c r="O47" s="229"/>
      <c r="P47" s="229">
        <f>$B47*P$42</f>
        <v>7251.6771990000007</v>
      </c>
      <c r="Q47" s="229"/>
      <c r="R47" s="229"/>
      <c r="S47" s="229">
        <f>$B47*S$42</f>
        <v>7416.2507998499987</v>
      </c>
      <c r="T47" s="229"/>
      <c r="U47" s="229"/>
      <c r="V47" s="229">
        <f>$B47*V$42</f>
        <v>7601.6570698462501</v>
      </c>
      <c r="W47" s="51"/>
      <c r="X47" s="51"/>
      <c r="Y47" s="14"/>
    </row>
    <row r="48" spans="1:29" x14ac:dyDescent="0.3">
      <c r="A48" s="10" t="s">
        <v>318</v>
      </c>
      <c r="B48" s="381">
        <v>5.0000000000000001E-3</v>
      </c>
      <c r="C48" s="372" t="s">
        <v>328</v>
      </c>
      <c r="D48" s="372"/>
      <c r="E48" s="373"/>
      <c r="F48" s="373"/>
      <c r="G48" s="229">
        <f t="shared" ref="G48:G50" si="34">$B48*G$42</f>
        <v>3336</v>
      </c>
      <c r="H48" s="229"/>
      <c r="I48" s="229"/>
      <c r="J48" s="229">
        <f t="shared" ref="J48:J50" si="35">$B48*J$42</f>
        <v>3423.2049999999999</v>
      </c>
      <c r="K48" s="229"/>
      <c r="L48" s="229"/>
      <c r="M48" s="229">
        <f t="shared" ref="M48:M50" si="36">$B48*M$42</f>
        <v>3491.6691000000005</v>
      </c>
      <c r="N48" s="229"/>
      <c r="O48" s="229"/>
      <c r="P48" s="229">
        <f t="shared" ref="P48:P50" si="37">$B48*P$42</f>
        <v>3625.8385995000003</v>
      </c>
      <c r="Q48" s="229"/>
      <c r="R48" s="229"/>
      <c r="S48" s="229">
        <f t="shared" ref="S48:S50" si="38">$B48*S$42</f>
        <v>3708.1253999249993</v>
      </c>
      <c r="T48" s="229"/>
      <c r="U48" s="229"/>
      <c r="V48" s="229">
        <f t="shared" ref="V48:V50" si="39">$B48*V$42</f>
        <v>3800.8285349231251</v>
      </c>
      <c r="W48" s="51"/>
      <c r="X48" s="51"/>
      <c r="Y48" s="14"/>
    </row>
    <row r="49" spans="1:25" x14ac:dyDescent="0.3">
      <c r="A49" s="10" t="s">
        <v>319</v>
      </c>
      <c r="B49" s="381">
        <v>0</v>
      </c>
      <c r="C49" s="372"/>
      <c r="D49" s="372"/>
      <c r="E49" s="373"/>
      <c r="F49" s="373"/>
      <c r="G49" s="229">
        <f t="shared" si="34"/>
        <v>0</v>
      </c>
      <c r="H49" s="229"/>
      <c r="I49" s="229"/>
      <c r="J49" s="229">
        <f t="shared" si="35"/>
        <v>0</v>
      </c>
      <c r="K49" s="229"/>
      <c r="L49" s="229"/>
      <c r="M49" s="229">
        <f t="shared" si="36"/>
        <v>0</v>
      </c>
      <c r="N49" s="229"/>
      <c r="O49" s="229"/>
      <c r="P49" s="229">
        <f t="shared" si="37"/>
        <v>0</v>
      </c>
      <c r="Q49" s="229"/>
      <c r="R49" s="229"/>
      <c r="S49" s="229">
        <f t="shared" si="38"/>
        <v>0</v>
      </c>
      <c r="T49" s="229"/>
      <c r="U49" s="229"/>
      <c r="V49" s="229">
        <f t="shared" si="39"/>
        <v>0</v>
      </c>
      <c r="W49" s="51"/>
      <c r="X49" s="51"/>
      <c r="Y49" s="14"/>
    </row>
    <row r="50" spans="1:25" ht="15.6" x14ac:dyDescent="0.3">
      <c r="A50" s="375" t="s">
        <v>321</v>
      </c>
      <c r="B50" s="381">
        <v>4.4999999999999998E-2</v>
      </c>
      <c r="C50" s="372"/>
      <c r="D50" s="372"/>
      <c r="E50" s="373"/>
      <c r="F50" s="373"/>
      <c r="G50" s="229">
        <f t="shared" si="34"/>
        <v>30024</v>
      </c>
      <c r="H50" s="229"/>
      <c r="I50" s="229"/>
      <c r="J50" s="229">
        <f t="shared" si="35"/>
        <v>30808.844999999998</v>
      </c>
      <c r="K50" s="229"/>
      <c r="L50" s="229"/>
      <c r="M50" s="229">
        <f t="shared" si="36"/>
        <v>31425.021900000003</v>
      </c>
      <c r="N50" s="229"/>
      <c r="O50" s="229"/>
      <c r="P50" s="229">
        <f t="shared" si="37"/>
        <v>32632.547395500002</v>
      </c>
      <c r="Q50" s="229"/>
      <c r="R50" s="229"/>
      <c r="S50" s="229">
        <f t="shared" si="38"/>
        <v>33373.128599324991</v>
      </c>
      <c r="T50" s="229"/>
      <c r="U50" s="229"/>
      <c r="V50" s="229">
        <f t="shared" si="39"/>
        <v>34207.45681430812</v>
      </c>
      <c r="W50" s="51"/>
      <c r="X50" s="51"/>
      <c r="Y50" s="14"/>
    </row>
    <row r="51" spans="1:25" ht="15.6" x14ac:dyDescent="0.3">
      <c r="A51" s="375" t="s">
        <v>322</v>
      </c>
      <c r="B51" s="34"/>
      <c r="C51" s="372"/>
      <c r="D51" s="372"/>
      <c r="E51" s="373"/>
      <c r="F51" s="373"/>
      <c r="G51" s="386">
        <f>SUM(G47:G50)</f>
        <v>40032</v>
      </c>
      <c r="H51" s="386"/>
      <c r="I51" s="386"/>
      <c r="J51" s="386">
        <f>SUM(J47:J50)</f>
        <v>41078.46</v>
      </c>
      <c r="K51" s="386"/>
      <c r="L51" s="386"/>
      <c r="M51" s="386">
        <f>SUM(M47:M50)</f>
        <v>41900.029200000004</v>
      </c>
      <c r="N51" s="386"/>
      <c r="O51" s="386"/>
      <c r="P51" s="386">
        <f>SUM(P47:P50)</f>
        <v>43510.063194000002</v>
      </c>
      <c r="Q51" s="386"/>
      <c r="R51" s="386"/>
      <c r="S51" s="386">
        <f>SUM(S47:S50)</f>
        <v>44497.504799099988</v>
      </c>
      <c r="T51" s="386"/>
      <c r="U51" s="386"/>
      <c r="V51" s="386">
        <f>SUM(V47:V50)</f>
        <v>45609.942419077495</v>
      </c>
      <c r="W51" s="51"/>
      <c r="X51" s="51"/>
      <c r="Y51" s="14"/>
    </row>
    <row r="52" spans="1:25" ht="15.6" x14ac:dyDescent="0.3">
      <c r="A52" s="375"/>
      <c r="B52" s="34"/>
      <c r="C52" s="372"/>
      <c r="D52" s="372"/>
      <c r="E52" s="373"/>
      <c r="F52" s="373"/>
      <c r="G52" s="34"/>
      <c r="H52" s="34"/>
      <c r="I52" s="229"/>
      <c r="J52" s="229"/>
      <c r="K52" s="229"/>
      <c r="L52" s="229"/>
      <c r="M52" s="229"/>
      <c r="N52" s="229"/>
      <c r="O52" s="34"/>
      <c r="P52" s="34"/>
      <c r="Q52" s="34"/>
      <c r="R52" s="34"/>
      <c r="S52" s="34"/>
      <c r="T52" s="34"/>
      <c r="U52" s="34"/>
      <c r="V52" s="34"/>
      <c r="W52" s="51"/>
      <c r="X52" s="51"/>
      <c r="Y52" s="14"/>
    </row>
    <row r="53" spans="1:25" ht="18" x14ac:dyDescent="0.35">
      <c r="A53" s="371" t="s">
        <v>316</v>
      </c>
      <c r="B53" s="34"/>
      <c r="C53" s="372"/>
      <c r="D53" s="372"/>
      <c r="E53" s="373"/>
      <c r="F53" s="373"/>
      <c r="G53" s="34"/>
      <c r="H53" s="34"/>
      <c r="I53" s="229"/>
      <c r="J53" s="229"/>
      <c r="K53" s="229"/>
      <c r="L53" s="229"/>
      <c r="M53" s="229"/>
      <c r="N53" s="229"/>
      <c r="O53" s="34"/>
      <c r="P53" s="34"/>
      <c r="Q53" s="34"/>
      <c r="R53" s="34"/>
      <c r="S53" s="34"/>
      <c r="T53" s="34"/>
      <c r="U53" s="34"/>
      <c r="V53" s="34"/>
      <c r="W53" s="51"/>
      <c r="X53" s="51"/>
      <c r="Y53" s="14"/>
    </row>
    <row r="54" spans="1:25" x14ac:dyDescent="0.3">
      <c r="A54" s="33" t="s">
        <v>324</v>
      </c>
      <c r="B54" s="39">
        <v>3700</v>
      </c>
      <c r="C54" s="32"/>
      <c r="D54" s="31"/>
      <c r="E54" s="56"/>
      <c r="F54" s="56"/>
      <c r="G54" s="30">
        <v>3875</v>
      </c>
      <c r="H54" s="30"/>
      <c r="I54" s="7"/>
      <c r="J54" s="7">
        <f t="shared" ref="J54:J56" si="40">G54*(1+$I$2)</f>
        <v>3960.25</v>
      </c>
      <c r="K54" s="7"/>
      <c r="L54" s="7"/>
      <c r="M54" s="7">
        <f t="shared" ref="M54:M56" si="41">J54*(1+$I$2)</f>
        <v>4047.3755000000001</v>
      </c>
      <c r="N54" s="7"/>
      <c r="O54" s="7"/>
      <c r="P54" s="7">
        <f t="shared" ref="P54:P56" si="42">M54*(1+$I$2)</f>
        <v>4136.4177610000006</v>
      </c>
      <c r="Q54" s="7"/>
      <c r="R54" s="7"/>
      <c r="S54" s="7">
        <f t="shared" ref="S54:S56" si="43">P54*(1+$I$2)</f>
        <v>4227.4189517420009</v>
      </c>
      <c r="T54" s="7"/>
      <c r="U54" s="7"/>
      <c r="V54" s="7">
        <f t="shared" ref="V54:V56" si="44">S54*(1+$I$2)</f>
        <v>4320.4221686803248</v>
      </c>
      <c r="W54" s="51"/>
      <c r="X54" s="51"/>
      <c r="Y54" s="14"/>
    </row>
    <row r="55" spans="1:25" x14ac:dyDescent="0.3">
      <c r="A55" s="33" t="s">
        <v>325</v>
      </c>
      <c r="B55" s="39">
        <v>3000</v>
      </c>
      <c r="C55" s="32"/>
      <c r="D55" s="30"/>
      <c r="E55" s="56"/>
      <c r="F55" s="56"/>
      <c r="G55" s="30">
        <f t="shared" ref="G55:G56" si="45">SUM(B55:C55)</f>
        <v>3000</v>
      </c>
      <c r="H55" s="30"/>
      <c r="I55" s="7"/>
      <c r="J55" s="7">
        <f t="shared" si="40"/>
        <v>3066</v>
      </c>
      <c r="K55" s="7"/>
      <c r="L55" s="7"/>
      <c r="M55" s="7">
        <f t="shared" si="41"/>
        <v>3133.4520000000002</v>
      </c>
      <c r="N55" s="7"/>
      <c r="O55" s="7"/>
      <c r="P55" s="7">
        <f t="shared" si="42"/>
        <v>3202.3879440000005</v>
      </c>
      <c r="Q55" s="7"/>
      <c r="R55" s="7"/>
      <c r="S55" s="7">
        <f t="shared" si="43"/>
        <v>3272.8404787680006</v>
      </c>
      <c r="T55" s="7"/>
      <c r="U55" s="7"/>
      <c r="V55" s="7">
        <f t="shared" si="44"/>
        <v>3344.8429693008966</v>
      </c>
      <c r="W55" s="51"/>
      <c r="X55" s="51"/>
      <c r="Y55" s="51"/>
    </row>
    <row r="56" spans="1:25" x14ac:dyDescent="0.3">
      <c r="A56" s="33" t="s">
        <v>326</v>
      </c>
      <c r="B56" s="39">
        <v>2200</v>
      </c>
      <c r="C56" s="32"/>
      <c r="D56" s="30"/>
      <c r="E56" s="56"/>
      <c r="F56" s="56"/>
      <c r="G56" s="30">
        <f t="shared" si="45"/>
        <v>2200</v>
      </c>
      <c r="H56" s="30"/>
      <c r="I56" s="7"/>
      <c r="J56" s="7">
        <f t="shared" si="40"/>
        <v>2248.4</v>
      </c>
      <c r="K56" s="7"/>
      <c r="L56" s="7"/>
      <c r="M56" s="7">
        <f t="shared" si="41"/>
        <v>2297.8648000000003</v>
      </c>
      <c r="N56" s="7"/>
      <c r="O56" s="7"/>
      <c r="P56" s="7">
        <f t="shared" si="42"/>
        <v>2348.4178256000005</v>
      </c>
      <c r="Q56" s="7"/>
      <c r="R56" s="7"/>
      <c r="S56" s="7">
        <f t="shared" si="43"/>
        <v>2400.0830177632006</v>
      </c>
      <c r="T56" s="7"/>
      <c r="U56" s="7"/>
      <c r="V56" s="7">
        <f t="shared" si="44"/>
        <v>2452.8848441539913</v>
      </c>
      <c r="W56" s="51"/>
      <c r="X56" s="51"/>
      <c r="Y56" s="51"/>
    </row>
    <row r="57" spans="1:25" x14ac:dyDescent="0.3">
      <c r="A57" s="33" t="s">
        <v>330</v>
      </c>
      <c r="D57" s="7"/>
      <c r="G57" s="387">
        <f>SUM(G54:G56)</f>
        <v>9075</v>
      </c>
      <c r="H57" s="387"/>
      <c r="I57" s="388"/>
      <c r="J57" s="387">
        <f>SUM(J54:J56)</f>
        <v>9274.65</v>
      </c>
      <c r="K57" s="388"/>
      <c r="L57" s="388"/>
      <c r="M57" s="387">
        <f>SUM(M54:M56)</f>
        <v>9478.6923000000006</v>
      </c>
      <c r="N57" s="388"/>
      <c r="O57" s="388"/>
      <c r="P57" s="387">
        <f>SUM(P54:P56)</f>
        <v>9687.2235306000002</v>
      </c>
      <c r="Q57" s="388"/>
      <c r="R57" s="388"/>
      <c r="S57" s="387">
        <f>SUM(S54:S56)</f>
        <v>9900.3424482732007</v>
      </c>
      <c r="T57" s="388"/>
      <c r="U57" s="388"/>
      <c r="V57" s="387">
        <f>SUM(V54:V56)</f>
        <v>10118.149982135212</v>
      </c>
    </row>
    <row r="58" spans="1:25" x14ac:dyDescent="0.3">
      <c r="A58"/>
      <c r="D58" s="27">
        <f>SUM(D55:D57)</f>
        <v>0</v>
      </c>
      <c r="E58" s="53"/>
      <c r="F58" s="53"/>
      <c r="G58" s="5"/>
      <c r="H58" s="5"/>
      <c r="I58" s="7"/>
      <c r="J58" s="7"/>
      <c r="K58" s="7"/>
      <c r="L58" s="7"/>
      <c r="M58" s="7"/>
      <c r="N58" s="7"/>
      <c r="O58" s="385"/>
      <c r="P58" s="385"/>
      <c r="Q58" s="385"/>
      <c r="R58" s="385"/>
      <c r="S58" s="385"/>
      <c r="T58" s="385"/>
      <c r="U58" s="385"/>
      <c r="V58" s="385"/>
      <c r="W58" s="2"/>
      <c r="Y58"/>
    </row>
    <row r="59" spans="1:25" ht="18" x14ac:dyDescent="0.35">
      <c r="A59" s="371" t="s">
        <v>317</v>
      </c>
      <c r="D59" s="26"/>
      <c r="E59" s="57"/>
      <c r="F59" s="57"/>
      <c r="G59" s="385"/>
      <c r="H59" s="385"/>
      <c r="I59" s="7"/>
      <c r="J59" s="7"/>
      <c r="K59" s="7"/>
      <c r="L59" s="7"/>
      <c r="M59" s="7"/>
      <c r="N59" s="7"/>
      <c r="O59" s="385"/>
      <c r="P59" s="385"/>
      <c r="Q59" s="385"/>
      <c r="R59" s="385"/>
      <c r="S59" s="385"/>
      <c r="T59" s="385"/>
      <c r="U59" s="385"/>
      <c r="V59" s="385"/>
      <c r="W59" s="2"/>
      <c r="Y59"/>
    </row>
    <row r="60" spans="1:25" x14ac:dyDescent="0.3">
      <c r="A60" s="33" t="s">
        <v>22</v>
      </c>
      <c r="B60" s="376">
        <f>80*12</f>
        <v>960</v>
      </c>
      <c r="C60" s="377"/>
      <c r="D60" s="378"/>
      <c r="E60" s="379"/>
      <c r="F60" s="379"/>
      <c r="G60" s="378">
        <f>SUM(B60:C60)</f>
        <v>960</v>
      </c>
      <c r="H60" s="378"/>
      <c r="I60" s="391"/>
      <c r="J60" s="391">
        <f>G60*(1+$I$2)</f>
        <v>981.12</v>
      </c>
      <c r="K60" s="391"/>
      <c r="L60" s="391"/>
      <c r="M60" s="391">
        <f>J60*(1+$I$2)</f>
        <v>1002.70464</v>
      </c>
      <c r="N60" s="391"/>
      <c r="O60" s="391"/>
      <c r="P60" s="391">
        <f>M60*(1+$I$2)</f>
        <v>1024.7641420800001</v>
      </c>
      <c r="Q60" s="391"/>
      <c r="R60" s="391"/>
      <c r="S60" s="391">
        <f>P60*(1+$I$2)</f>
        <v>1047.3089532057602</v>
      </c>
      <c r="T60" s="391"/>
      <c r="U60" s="391"/>
      <c r="V60" s="391">
        <f>S60*(1+$I$2)</f>
        <v>1070.349750176287</v>
      </c>
      <c r="W60" s="51"/>
      <c r="X60" s="51"/>
      <c r="Y60" s="51"/>
    </row>
    <row r="61" spans="1:25" x14ac:dyDescent="0.3">
      <c r="A61" s="33" t="s">
        <v>19</v>
      </c>
      <c r="B61" s="376">
        <v>4000</v>
      </c>
      <c r="C61" s="377"/>
      <c r="D61" s="380"/>
      <c r="E61" s="379"/>
      <c r="F61" s="379"/>
      <c r="G61" s="378">
        <f>SUM(B61:C61)</f>
        <v>4000</v>
      </c>
      <c r="H61" s="378"/>
      <c r="I61" s="391"/>
      <c r="J61" s="391">
        <f>G61*(1+$I$2)</f>
        <v>4088</v>
      </c>
      <c r="K61" s="391"/>
      <c r="L61" s="391"/>
      <c r="M61" s="391">
        <f>J61*(1+$I$2)</f>
        <v>4177.9359999999997</v>
      </c>
      <c r="N61" s="391"/>
      <c r="O61" s="391"/>
      <c r="P61" s="391">
        <f>M61*(1+$I$2)</f>
        <v>4269.8505919999998</v>
      </c>
      <c r="Q61" s="391"/>
      <c r="R61" s="391"/>
      <c r="S61" s="391">
        <f>P61*(1+$I$2)</f>
        <v>4363.7873050239996</v>
      </c>
      <c r="T61" s="391"/>
      <c r="U61" s="391"/>
      <c r="V61" s="391">
        <f>S61*(1+$I$2)</f>
        <v>4459.7906257345276</v>
      </c>
      <c r="W61" s="51"/>
      <c r="X61" s="51"/>
      <c r="Y61" s="14"/>
    </row>
    <row r="62" spans="1:25" x14ac:dyDescent="0.3">
      <c r="A62" s="33" t="s">
        <v>20</v>
      </c>
      <c r="B62" s="39">
        <v>500</v>
      </c>
      <c r="C62" s="32"/>
      <c r="D62" s="30"/>
      <c r="E62" s="56"/>
      <c r="F62" s="56"/>
      <c r="G62" s="30">
        <f>SUM(B62:C62)</f>
        <v>500</v>
      </c>
      <c r="H62" s="30"/>
      <c r="I62" s="392"/>
      <c r="J62" s="392">
        <f>G62*(1+$I$2)</f>
        <v>511</v>
      </c>
      <c r="K62" s="392"/>
      <c r="L62" s="392"/>
      <c r="M62" s="392">
        <f>J62*(1+$I$2)</f>
        <v>522.24199999999996</v>
      </c>
      <c r="N62" s="392"/>
      <c r="O62" s="392"/>
      <c r="P62" s="392">
        <f>M62*(1+$I$2)</f>
        <v>533.73132399999997</v>
      </c>
      <c r="Q62" s="392"/>
      <c r="R62" s="392"/>
      <c r="S62" s="392">
        <f>P62*(1+$I$2)</f>
        <v>545.47341312799995</v>
      </c>
      <c r="T62" s="392"/>
      <c r="U62" s="392"/>
      <c r="V62" s="392">
        <f>S62*(1+$I$2)</f>
        <v>557.47382821681595</v>
      </c>
      <c r="W62" s="51"/>
      <c r="X62" s="51"/>
      <c r="Y62" s="51"/>
    </row>
    <row r="63" spans="1:25" x14ac:dyDescent="0.3">
      <c r="A63" s="33" t="s">
        <v>21</v>
      </c>
      <c r="B63" s="39">
        <v>2400</v>
      </c>
      <c r="C63" s="32"/>
      <c r="D63" s="30"/>
      <c r="E63" s="56"/>
      <c r="F63" s="56"/>
      <c r="G63" s="30">
        <f>SUM(B63:C63)</f>
        <v>2400</v>
      </c>
      <c r="H63" s="30"/>
      <c r="I63" s="392"/>
      <c r="J63" s="392">
        <v>0</v>
      </c>
      <c r="K63" s="392"/>
      <c r="L63" s="392"/>
      <c r="M63" s="392">
        <v>1200</v>
      </c>
      <c r="N63" s="392"/>
      <c r="O63" s="392"/>
      <c r="P63" s="392">
        <v>1350</v>
      </c>
      <c r="Q63" s="392"/>
      <c r="R63" s="392"/>
      <c r="S63" s="392">
        <v>1200</v>
      </c>
      <c r="T63" s="392"/>
      <c r="U63" s="392"/>
      <c r="V63" s="392">
        <v>1200</v>
      </c>
      <c r="W63" s="51"/>
      <c r="X63" s="51"/>
      <c r="Y63" s="51"/>
    </row>
    <row r="64" spans="1:25" x14ac:dyDescent="0.3">
      <c r="A64" s="4" t="s">
        <v>323</v>
      </c>
      <c r="B64" s="4">
        <v>2000</v>
      </c>
      <c r="D64" s="23"/>
      <c r="E64" s="54"/>
      <c r="F64" s="54"/>
      <c r="G64" s="392">
        <f>SUM(B64:C64)</f>
        <v>2000</v>
      </c>
      <c r="H64" s="392"/>
      <c r="I64" s="392"/>
      <c r="J64" s="392">
        <f>G64*(1+$I$2)</f>
        <v>2044</v>
      </c>
      <c r="K64" s="392"/>
      <c r="L64" s="392"/>
      <c r="M64" s="392">
        <f>J64*(1+$I$2)</f>
        <v>2088.9679999999998</v>
      </c>
      <c r="N64" s="392"/>
      <c r="O64" s="392"/>
      <c r="P64" s="392">
        <f>M64*(1+$I$2)</f>
        <v>2134.9252959999999</v>
      </c>
      <c r="Q64" s="392"/>
      <c r="R64" s="392"/>
      <c r="S64" s="392">
        <f>P64*(1+$I$2)</f>
        <v>2181.8936525119998</v>
      </c>
      <c r="T64" s="392"/>
      <c r="U64" s="392"/>
      <c r="V64" s="392">
        <f>S64*(1+$I$2)</f>
        <v>2229.8953128672638</v>
      </c>
      <c r="W64" s="2"/>
      <c r="Y64"/>
    </row>
    <row r="65" spans="1:25" x14ac:dyDescent="0.3">
      <c r="A65" s="4" t="s">
        <v>331</v>
      </c>
      <c r="D65" s="23"/>
      <c r="E65" s="54"/>
      <c r="F65" s="54"/>
      <c r="G65" s="389">
        <f>SUM(G60:G64)</f>
        <v>9860</v>
      </c>
      <c r="H65" s="389"/>
      <c r="I65" s="389"/>
      <c r="J65" s="389">
        <f>SUM(J60:J64)</f>
        <v>7624.12</v>
      </c>
      <c r="K65" s="389"/>
      <c r="L65" s="389"/>
      <c r="M65" s="389">
        <f>SUM(M60:M64)</f>
        <v>8991.8506400000006</v>
      </c>
      <c r="N65" s="389"/>
      <c r="O65" s="390"/>
      <c r="P65" s="389">
        <f>SUM(P60:P64)</f>
        <v>9313.2713540799996</v>
      </c>
      <c r="Q65" s="390"/>
      <c r="R65" s="390"/>
      <c r="S65" s="389">
        <f>SUM(S60:S64)</f>
        <v>9338.4633238697606</v>
      </c>
      <c r="T65" s="390"/>
      <c r="U65" s="390"/>
      <c r="V65" s="389">
        <f>SUM(V60:V64)</f>
        <v>9517.5095169948945</v>
      </c>
      <c r="W65" s="2"/>
      <c r="Y65"/>
    </row>
    <row r="66" spans="1:25" x14ac:dyDescent="0.3">
      <c r="D66" s="23"/>
      <c r="E66" s="54"/>
      <c r="F66" s="54"/>
      <c r="G66" s="24"/>
      <c r="H66" s="24"/>
      <c r="O66" s="4"/>
      <c r="P66" s="4"/>
      <c r="Q66" s="4"/>
      <c r="R66" s="4"/>
      <c r="S66" s="4"/>
      <c r="T66" s="4"/>
      <c r="U66" s="4"/>
      <c r="V66" s="4"/>
      <c r="W66" s="2"/>
      <c r="Y66"/>
    </row>
    <row r="67" spans="1:25" ht="18" x14ac:dyDescent="0.35">
      <c r="A67" s="370" t="s">
        <v>332</v>
      </c>
      <c r="D67" s="23"/>
      <c r="E67" s="54"/>
      <c r="F67" s="54"/>
      <c r="G67" s="394">
        <f>G42+G51+G57+G65</f>
        <v>726167</v>
      </c>
      <c r="H67" s="394"/>
      <c r="I67" s="394"/>
      <c r="J67" s="394">
        <f>J42+J51+J57+J65</f>
        <v>742618.23</v>
      </c>
      <c r="K67" s="394"/>
      <c r="L67" s="394"/>
      <c r="M67" s="394">
        <f>M42+M51+M57+M65</f>
        <v>758704.39214000001</v>
      </c>
      <c r="N67" s="394"/>
      <c r="O67" s="395"/>
      <c r="P67" s="394">
        <f>P42+P51+P57+P65</f>
        <v>787678.27797867998</v>
      </c>
      <c r="Q67" s="395"/>
      <c r="R67" s="395"/>
      <c r="S67" s="394">
        <f>S42+S51+S57+S65</f>
        <v>805361.39055624278</v>
      </c>
      <c r="T67" s="395"/>
      <c r="U67" s="395"/>
      <c r="V67" s="394">
        <f>V42+V51+V57+V65</f>
        <v>825411.30890283256</v>
      </c>
      <c r="W67" s="2"/>
      <c r="Y67"/>
    </row>
    <row r="68" spans="1:25" x14ac:dyDescent="0.3">
      <c r="D68" s="23"/>
      <c r="E68" s="54"/>
      <c r="F68" s="54"/>
      <c r="G68" s="24"/>
      <c r="H68" s="24"/>
      <c r="O68" s="4"/>
      <c r="P68" s="4"/>
      <c r="Q68" s="4"/>
      <c r="R68" s="4"/>
      <c r="S68" s="4"/>
      <c r="T68" s="4"/>
      <c r="U68" s="4"/>
      <c r="V68" s="4"/>
      <c r="W68" s="2"/>
      <c r="Y68"/>
    </row>
    <row r="69" spans="1:25" x14ac:dyDescent="0.3">
      <c r="D69" s="23"/>
      <c r="E69" s="54"/>
      <c r="F69" s="54"/>
      <c r="G69" s="24"/>
      <c r="H69" s="24"/>
      <c r="O69" s="4"/>
      <c r="P69" s="4"/>
      <c r="Q69" s="4"/>
      <c r="R69" s="4"/>
      <c r="S69" s="4"/>
      <c r="T69" s="4"/>
      <c r="U69" s="4"/>
      <c r="V69" s="4"/>
      <c r="W69" s="2"/>
      <c r="Y69"/>
    </row>
    <row r="70" spans="1:25" x14ac:dyDescent="0.3">
      <c r="D70" s="23"/>
      <c r="E70" s="54"/>
      <c r="F70" s="54"/>
      <c r="G70" s="24"/>
      <c r="H70" s="24"/>
      <c r="O70" s="4"/>
      <c r="P70" s="4"/>
      <c r="Q70" s="4"/>
      <c r="R70" s="4"/>
      <c r="S70" s="4"/>
      <c r="T70" s="4"/>
      <c r="U70" s="4"/>
      <c r="V70" s="4"/>
      <c r="W70" s="2"/>
      <c r="Y70"/>
    </row>
    <row r="71" spans="1:25" x14ac:dyDescent="0.3">
      <c r="D71" s="23"/>
      <c r="E71" s="54"/>
      <c r="F71" s="54"/>
      <c r="G71" s="24"/>
      <c r="H71" s="24"/>
      <c r="O71" s="4"/>
      <c r="P71" s="4"/>
      <c r="Q71" s="4"/>
      <c r="R71" s="4"/>
      <c r="S71" s="4"/>
      <c r="T71" s="4"/>
      <c r="U71" s="4"/>
      <c r="V71" s="4"/>
      <c r="W71" s="2"/>
      <c r="Y71"/>
    </row>
    <row r="72" spans="1:25" x14ac:dyDescent="0.3">
      <c r="D72" s="23"/>
      <c r="E72" s="54"/>
      <c r="F72" s="54"/>
      <c r="G72" s="24"/>
      <c r="H72" s="24"/>
      <c r="O72" s="4"/>
      <c r="P72" s="4"/>
      <c r="Q72" s="4"/>
      <c r="R72" s="4"/>
      <c r="S72" s="4"/>
      <c r="T72" s="4"/>
      <c r="U72" s="4"/>
      <c r="V72" s="4"/>
      <c r="W72" s="2"/>
      <c r="Y72"/>
    </row>
    <row r="73" spans="1:25" x14ac:dyDescent="0.3">
      <c r="D73" s="23"/>
      <c r="E73" s="54"/>
      <c r="F73" s="54"/>
      <c r="G73" s="24"/>
      <c r="H73" s="24"/>
      <c r="O73" s="4"/>
      <c r="P73" s="4"/>
      <c r="Q73" s="4"/>
      <c r="R73" s="4"/>
      <c r="S73" s="4"/>
      <c r="T73" s="4"/>
      <c r="U73" s="4"/>
      <c r="V73" s="4"/>
      <c r="W73" s="2"/>
      <c r="Y73"/>
    </row>
    <row r="74" spans="1:25" x14ac:dyDescent="0.3">
      <c r="D74" s="23"/>
      <c r="E74" s="54"/>
      <c r="F74" s="54"/>
      <c r="G74" s="24"/>
      <c r="H74" s="24"/>
      <c r="O74" s="4"/>
      <c r="P74" s="4"/>
      <c r="Q74" s="4"/>
      <c r="R74" s="4"/>
      <c r="S74" s="4"/>
      <c r="T74" s="4"/>
      <c r="U74" s="4"/>
      <c r="V74" s="4"/>
      <c r="W74" s="2"/>
      <c r="Y74"/>
    </row>
    <row r="75" spans="1:25" x14ac:dyDescent="0.3">
      <c r="D75" s="23"/>
      <c r="E75" s="54"/>
      <c r="F75" s="54"/>
      <c r="G75" s="24"/>
      <c r="H75" s="24"/>
      <c r="O75" s="4"/>
      <c r="P75" s="4"/>
      <c r="Q75" s="4"/>
      <c r="R75" s="4"/>
      <c r="S75" s="4"/>
      <c r="T75" s="4"/>
      <c r="U75" s="4"/>
      <c r="V75" s="4"/>
      <c r="W75" s="2"/>
      <c r="Y75"/>
    </row>
  </sheetData>
  <mergeCells count="6">
    <mergeCell ref="T5:V5"/>
    <mergeCell ref="E5:G5"/>
    <mergeCell ref="H5:J5"/>
    <mergeCell ref="K5:M5"/>
    <mergeCell ref="Q5:S5"/>
    <mergeCell ref="N5:P5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C860F5-94B2-4322-9C37-146736744DC9}">
  <dimension ref="A2:L37"/>
  <sheetViews>
    <sheetView topLeftCell="A17" zoomScale="90" zoomScaleNormal="90" workbookViewId="0">
      <selection activeCell="G11" sqref="G11"/>
    </sheetView>
  </sheetViews>
  <sheetFormatPr defaultRowHeight="14.4" x14ac:dyDescent="0.3"/>
  <cols>
    <col min="1" max="1" width="32.109375" customWidth="1"/>
    <col min="4" max="10" width="14.88671875" customWidth="1"/>
  </cols>
  <sheetData>
    <row r="2" spans="1:12" s="134" customFormat="1" ht="16.2" thickBot="1" x14ac:dyDescent="0.35">
      <c r="D2" s="346" t="s">
        <v>272</v>
      </c>
      <c r="E2" s="346" t="s">
        <v>271</v>
      </c>
      <c r="F2" s="346" t="s">
        <v>270</v>
      </c>
      <c r="G2" s="546" t="s">
        <v>268</v>
      </c>
      <c r="H2" s="546"/>
      <c r="I2" s="546"/>
      <c r="J2" s="347" t="s">
        <v>269</v>
      </c>
    </row>
    <row r="3" spans="1:12" s="134" customFormat="1" ht="30" customHeight="1" thickBot="1" x14ac:dyDescent="0.45">
      <c r="A3" s="234" t="s">
        <v>336</v>
      </c>
      <c r="B3" s="235"/>
      <c r="C3" s="235"/>
      <c r="D3" s="348" t="s">
        <v>265</v>
      </c>
      <c r="E3" s="348" t="s">
        <v>73</v>
      </c>
      <c r="F3" s="348" t="s">
        <v>74</v>
      </c>
      <c r="G3" s="349" t="s">
        <v>75</v>
      </c>
      <c r="H3" s="349" t="s">
        <v>75</v>
      </c>
      <c r="I3" s="349" t="s">
        <v>75</v>
      </c>
      <c r="J3" s="349" t="s">
        <v>266</v>
      </c>
      <c r="L3" s="48"/>
    </row>
    <row r="4" spans="1:12" s="134" customFormat="1" ht="18" customHeight="1" x14ac:dyDescent="0.3">
      <c r="A4" s="236"/>
      <c r="B4" s="236"/>
      <c r="C4" s="236"/>
      <c r="D4" s="237" t="s">
        <v>76</v>
      </c>
      <c r="E4" s="237" t="s">
        <v>76</v>
      </c>
      <c r="F4" s="237" t="s">
        <v>76</v>
      </c>
      <c r="G4" s="237" t="s">
        <v>213</v>
      </c>
      <c r="H4" s="237" t="s">
        <v>273</v>
      </c>
      <c r="I4" s="237" t="s">
        <v>216</v>
      </c>
      <c r="J4" s="237" t="s">
        <v>278</v>
      </c>
      <c r="L4" s="238"/>
    </row>
    <row r="5" spans="1:12" s="134" customFormat="1" ht="31.2" x14ac:dyDescent="0.3">
      <c r="A5" s="239"/>
      <c r="B5" s="239"/>
      <c r="C5" s="239"/>
      <c r="D5" s="357" t="s">
        <v>212</v>
      </c>
      <c r="E5" s="357" t="s">
        <v>214</v>
      </c>
      <c r="F5" s="357" t="s">
        <v>264</v>
      </c>
      <c r="G5" s="357" t="s">
        <v>215</v>
      </c>
      <c r="H5" s="357" t="s">
        <v>263</v>
      </c>
      <c r="I5" s="357" t="s">
        <v>263</v>
      </c>
      <c r="J5" s="357" t="s">
        <v>262</v>
      </c>
      <c r="L5" s="241"/>
    </row>
    <row r="6" spans="1:12" ht="15.6" x14ac:dyDescent="0.3">
      <c r="A6" s="404" t="s">
        <v>91</v>
      </c>
      <c r="B6" s="411"/>
      <c r="C6" s="411"/>
      <c r="D6" s="411"/>
      <c r="E6" s="411"/>
      <c r="F6" s="411"/>
      <c r="G6" s="411"/>
      <c r="H6" s="411"/>
      <c r="I6" s="411"/>
      <c r="J6" s="411"/>
    </row>
    <row r="7" spans="1:12" ht="15.6" x14ac:dyDescent="0.3">
      <c r="A7" s="406" t="s">
        <v>387</v>
      </c>
      <c r="B7" s="406"/>
      <c r="C7" s="407"/>
      <c r="D7" s="408">
        <v>325</v>
      </c>
      <c r="E7" s="408">
        <v>325</v>
      </c>
      <c r="F7" s="408">
        <v>325</v>
      </c>
      <c r="G7" s="408">
        <v>325</v>
      </c>
      <c r="H7" s="408"/>
      <c r="I7" s="408">
        <v>325</v>
      </c>
      <c r="J7" s="408">
        <v>325</v>
      </c>
    </row>
    <row r="8" spans="1:12" ht="15.6" x14ac:dyDescent="0.3">
      <c r="A8" s="406" t="s">
        <v>388</v>
      </c>
      <c r="B8" s="406"/>
      <c r="C8" s="407"/>
      <c r="D8" s="408">
        <v>750</v>
      </c>
      <c r="E8" s="408">
        <v>750</v>
      </c>
      <c r="F8" s="408">
        <v>750</v>
      </c>
      <c r="G8" s="408">
        <v>750</v>
      </c>
      <c r="H8" s="408"/>
      <c r="I8" s="408">
        <v>750</v>
      </c>
      <c r="J8" s="408">
        <v>750</v>
      </c>
    </row>
    <row r="9" spans="1:12" ht="15.6" x14ac:dyDescent="0.3">
      <c r="A9" s="406" t="s">
        <v>389</v>
      </c>
      <c r="B9" s="406"/>
      <c r="C9" s="407"/>
      <c r="D9" s="408">
        <v>500</v>
      </c>
      <c r="E9" s="408">
        <v>500</v>
      </c>
      <c r="F9" s="408">
        <v>500</v>
      </c>
      <c r="G9" s="408">
        <v>500</v>
      </c>
      <c r="H9" s="408"/>
      <c r="I9" s="408">
        <v>500</v>
      </c>
      <c r="J9" s="408">
        <v>500</v>
      </c>
    </row>
    <row r="10" spans="1:12" ht="15.6" x14ac:dyDescent="0.3">
      <c r="A10" s="406" t="s">
        <v>390</v>
      </c>
      <c r="B10" s="406"/>
      <c r="C10" s="407"/>
      <c r="D10" s="408">
        <f>D11-D7-D8-D9</f>
        <v>175</v>
      </c>
      <c r="E10" s="408">
        <f t="shared" ref="E10:G10" si="0">E11-E7-E8-E9</f>
        <v>175</v>
      </c>
      <c r="F10" s="408">
        <f t="shared" si="0"/>
        <v>175</v>
      </c>
      <c r="G10" s="408">
        <f t="shared" si="0"/>
        <v>175</v>
      </c>
      <c r="H10" s="408"/>
      <c r="I10" s="408">
        <f t="shared" ref="I10:J10" si="1">I11-I7-I8-I9</f>
        <v>175</v>
      </c>
      <c r="J10" s="408">
        <f t="shared" si="1"/>
        <v>175</v>
      </c>
    </row>
    <row r="11" spans="1:12" ht="15.6" x14ac:dyDescent="0.3">
      <c r="A11" s="406" t="s">
        <v>391</v>
      </c>
      <c r="B11" s="406"/>
      <c r="C11" s="407"/>
      <c r="D11" s="408">
        <v>1750</v>
      </c>
      <c r="E11" s="408">
        <v>1750</v>
      </c>
      <c r="F11" s="408">
        <v>1750</v>
      </c>
      <c r="G11" s="408">
        <v>1750</v>
      </c>
      <c r="H11" s="408"/>
      <c r="I11" s="408">
        <v>1750</v>
      </c>
      <c r="J11" s="408">
        <v>1750</v>
      </c>
    </row>
    <row r="12" spans="1:12" ht="15.6" x14ac:dyDescent="0.3">
      <c r="A12" s="404" t="s">
        <v>92</v>
      </c>
      <c r="B12" s="404"/>
      <c r="C12" s="405"/>
      <c r="D12" s="166"/>
      <c r="E12" s="166"/>
      <c r="F12" s="166"/>
      <c r="G12" s="166"/>
      <c r="H12" s="166"/>
      <c r="I12" s="166"/>
      <c r="J12" s="166"/>
    </row>
    <row r="13" spans="1:12" ht="15.6" x14ac:dyDescent="0.3">
      <c r="A13" s="412" t="s">
        <v>395</v>
      </c>
      <c r="B13" s="412"/>
      <c r="C13" s="413"/>
      <c r="D13" s="414">
        <v>750</v>
      </c>
      <c r="E13" s="414">
        <v>750</v>
      </c>
      <c r="F13" s="414">
        <v>750</v>
      </c>
      <c r="G13" s="414">
        <v>750</v>
      </c>
      <c r="H13" s="414"/>
      <c r="I13" s="414">
        <v>750</v>
      </c>
      <c r="J13" s="414">
        <v>750</v>
      </c>
    </row>
    <row r="14" spans="1:12" ht="15.6" x14ac:dyDescent="0.3">
      <c r="A14" s="412" t="s">
        <v>396</v>
      </c>
      <c r="B14" s="412"/>
      <c r="C14" s="413"/>
      <c r="D14" s="414">
        <v>450</v>
      </c>
      <c r="E14" s="414">
        <v>450</v>
      </c>
      <c r="F14" s="414">
        <v>450</v>
      </c>
      <c r="G14" s="414">
        <v>450</v>
      </c>
      <c r="H14" s="414"/>
      <c r="I14" s="414">
        <v>450</v>
      </c>
      <c r="J14" s="414">
        <v>450</v>
      </c>
    </row>
    <row r="15" spans="1:12" ht="15.6" x14ac:dyDescent="0.3">
      <c r="A15" s="412" t="s">
        <v>401</v>
      </c>
      <c r="B15" s="412"/>
      <c r="C15" s="413"/>
      <c r="D15" s="414">
        <v>250</v>
      </c>
      <c r="E15" s="414">
        <v>250</v>
      </c>
      <c r="F15" s="414">
        <v>250</v>
      </c>
      <c r="G15" s="414">
        <v>250</v>
      </c>
      <c r="H15" s="414"/>
      <c r="I15" s="414">
        <v>250</v>
      </c>
      <c r="J15" s="414">
        <v>250</v>
      </c>
    </row>
    <row r="16" spans="1:12" ht="15.6" x14ac:dyDescent="0.3">
      <c r="A16" s="412" t="s">
        <v>397</v>
      </c>
      <c r="B16" s="412"/>
      <c r="C16" s="413"/>
      <c r="D16" s="414">
        <v>350</v>
      </c>
      <c r="E16" s="414">
        <v>350</v>
      </c>
      <c r="F16" s="414">
        <v>350</v>
      </c>
      <c r="G16" s="414">
        <v>350</v>
      </c>
      <c r="H16" s="414"/>
      <c r="I16" s="414">
        <v>350</v>
      </c>
      <c r="J16" s="414">
        <v>350</v>
      </c>
    </row>
    <row r="17" spans="1:10" ht="15.6" x14ac:dyDescent="0.3">
      <c r="A17" s="420" t="s">
        <v>400</v>
      </c>
      <c r="B17" s="421"/>
      <c r="C17" s="413"/>
      <c r="D17" s="422">
        <v>50</v>
      </c>
      <c r="E17" s="422">
        <v>50</v>
      </c>
      <c r="F17" s="422">
        <v>50</v>
      </c>
      <c r="G17" s="422">
        <v>50</v>
      </c>
      <c r="H17" s="422"/>
      <c r="I17" s="422">
        <v>50</v>
      </c>
      <c r="J17" s="422">
        <v>50</v>
      </c>
    </row>
    <row r="18" spans="1:10" ht="15.6" x14ac:dyDescent="0.3">
      <c r="A18" s="402" t="s">
        <v>394</v>
      </c>
      <c r="B18" s="415"/>
      <c r="C18" s="411"/>
      <c r="D18" s="403"/>
      <c r="E18" s="403"/>
      <c r="F18" s="403"/>
      <c r="G18" s="403"/>
      <c r="H18" s="403"/>
      <c r="I18" s="403"/>
      <c r="J18" s="403"/>
    </row>
    <row r="19" spans="1:10" ht="15.6" x14ac:dyDescent="0.3">
      <c r="A19" s="417" t="s">
        <v>392</v>
      </c>
      <c r="B19" s="417"/>
      <c r="C19" s="416"/>
      <c r="D19" s="409">
        <v>1200</v>
      </c>
      <c r="E19" s="409">
        <v>1200</v>
      </c>
      <c r="F19" s="409">
        <v>1200</v>
      </c>
      <c r="G19" s="409">
        <v>1200</v>
      </c>
      <c r="H19" s="409"/>
      <c r="I19" s="409">
        <v>1200</v>
      </c>
      <c r="J19" s="409">
        <v>1200</v>
      </c>
    </row>
    <row r="20" spans="1:10" ht="15.6" x14ac:dyDescent="0.3">
      <c r="A20" s="417" t="s">
        <v>393</v>
      </c>
      <c r="B20" s="417"/>
      <c r="C20" s="416"/>
      <c r="D20" s="409">
        <v>450</v>
      </c>
      <c r="E20" s="409">
        <v>450</v>
      </c>
      <c r="F20" s="409">
        <v>450</v>
      </c>
      <c r="G20" s="409">
        <v>450</v>
      </c>
      <c r="H20" s="409"/>
      <c r="I20" s="409">
        <v>450</v>
      </c>
      <c r="J20" s="409">
        <v>450</v>
      </c>
    </row>
    <row r="21" spans="1:10" ht="15.6" x14ac:dyDescent="0.3">
      <c r="A21" s="417" t="s">
        <v>399</v>
      </c>
      <c r="B21" s="417"/>
      <c r="C21" s="416"/>
      <c r="D21" s="410">
        <f>D19+D20</f>
        <v>1650</v>
      </c>
      <c r="E21" s="410">
        <f t="shared" ref="E21:G21" si="2">E19+E20</f>
        <v>1650</v>
      </c>
      <c r="F21" s="410">
        <f t="shared" si="2"/>
        <v>1650</v>
      </c>
      <c r="G21" s="410">
        <f t="shared" si="2"/>
        <v>1650</v>
      </c>
      <c r="H21" s="410"/>
      <c r="I21" s="410">
        <f t="shared" ref="I21:J21" si="3">I19+I20</f>
        <v>1650</v>
      </c>
      <c r="J21" s="410">
        <f t="shared" si="3"/>
        <v>1650</v>
      </c>
    </row>
    <row r="22" spans="1:10" ht="15.6" x14ac:dyDescent="0.3">
      <c r="A22" s="412" t="s">
        <v>398</v>
      </c>
      <c r="B22" s="412"/>
      <c r="C22" s="413"/>
      <c r="D22" s="414">
        <f>D13+D14+D15+D16+D17+D21</f>
        <v>3500</v>
      </c>
      <c r="E22" s="414">
        <v>3500</v>
      </c>
      <c r="F22" s="414">
        <v>3500</v>
      </c>
      <c r="G22" s="414">
        <v>3500</v>
      </c>
      <c r="H22" s="414"/>
      <c r="I22" s="414">
        <v>3500</v>
      </c>
      <c r="J22" s="414">
        <v>3500</v>
      </c>
    </row>
    <row r="23" spans="1:10" ht="15.6" x14ac:dyDescent="0.3">
      <c r="A23" s="404" t="s">
        <v>93</v>
      </c>
      <c r="B23" s="404"/>
      <c r="C23" s="405"/>
      <c r="D23" s="166"/>
      <c r="E23" s="166"/>
      <c r="F23" s="166"/>
      <c r="G23" s="166"/>
      <c r="H23" s="166"/>
      <c r="I23" s="166"/>
      <c r="J23" s="166"/>
    </row>
    <row r="24" spans="1:10" ht="15.6" x14ac:dyDescent="0.3">
      <c r="A24" s="423" t="s">
        <v>402</v>
      </c>
      <c r="B24" s="423"/>
      <c r="C24" s="424"/>
      <c r="D24" s="425">
        <v>650</v>
      </c>
      <c r="E24" s="425">
        <v>650</v>
      </c>
      <c r="F24" s="425">
        <v>650</v>
      </c>
      <c r="G24" s="425">
        <v>650</v>
      </c>
      <c r="H24" s="425"/>
      <c r="I24" s="425">
        <v>650</v>
      </c>
      <c r="J24" s="425">
        <v>650</v>
      </c>
    </row>
    <row r="25" spans="1:10" ht="15.6" x14ac:dyDescent="0.3">
      <c r="A25" s="423" t="s">
        <v>403</v>
      </c>
      <c r="B25" s="423"/>
      <c r="C25" s="424"/>
      <c r="D25" s="425">
        <v>200</v>
      </c>
      <c r="E25" s="425">
        <v>200</v>
      </c>
      <c r="F25" s="425">
        <v>200</v>
      </c>
      <c r="G25" s="425">
        <v>200</v>
      </c>
      <c r="H25" s="425"/>
      <c r="I25" s="425">
        <v>200</v>
      </c>
      <c r="J25" s="425">
        <v>200</v>
      </c>
    </row>
    <row r="26" spans="1:10" ht="15.6" x14ac:dyDescent="0.3">
      <c r="A26" s="423" t="s">
        <v>404</v>
      </c>
      <c r="B26" s="423"/>
      <c r="C26" s="424"/>
      <c r="D26" s="425">
        <v>1100</v>
      </c>
      <c r="E26" s="425">
        <v>1100</v>
      </c>
      <c r="F26" s="425">
        <v>1100</v>
      </c>
      <c r="G26" s="425">
        <v>1100</v>
      </c>
      <c r="H26" s="425"/>
      <c r="I26" s="425">
        <v>1100</v>
      </c>
      <c r="J26" s="425">
        <v>1100</v>
      </c>
    </row>
    <row r="27" spans="1:10" ht="15.6" x14ac:dyDescent="0.3">
      <c r="A27" s="423" t="s">
        <v>405</v>
      </c>
      <c r="B27" s="423"/>
      <c r="C27" s="424"/>
      <c r="D27" s="425">
        <v>200</v>
      </c>
      <c r="E27" s="425">
        <v>200</v>
      </c>
      <c r="F27" s="425">
        <v>200</v>
      </c>
      <c r="G27" s="425">
        <v>200</v>
      </c>
      <c r="H27" s="425"/>
      <c r="I27" s="425">
        <v>200</v>
      </c>
      <c r="J27" s="425">
        <v>200</v>
      </c>
    </row>
    <row r="28" spans="1:10" ht="15.6" x14ac:dyDescent="0.3">
      <c r="A28" s="423" t="s">
        <v>406</v>
      </c>
      <c r="B28" s="423"/>
      <c r="C28" s="424"/>
      <c r="D28" s="425">
        <f>SUM(D24:D27)</f>
        <v>2150</v>
      </c>
      <c r="E28" s="425">
        <f t="shared" ref="E28:G28" si="4">SUM(E24:E27)</f>
        <v>2150</v>
      </c>
      <c r="F28" s="425">
        <f t="shared" si="4"/>
        <v>2150</v>
      </c>
      <c r="G28" s="425">
        <f t="shared" si="4"/>
        <v>2150</v>
      </c>
      <c r="H28" s="425"/>
      <c r="I28" s="425">
        <f t="shared" ref="I28:J28" si="5">SUM(I24:I27)</f>
        <v>2150</v>
      </c>
      <c r="J28" s="425">
        <f t="shared" si="5"/>
        <v>2150</v>
      </c>
    </row>
    <row r="29" spans="1:10" ht="15.6" x14ac:dyDescent="0.3">
      <c r="A29" s="418" t="s">
        <v>94</v>
      </c>
      <c r="B29" s="418"/>
      <c r="C29" s="405"/>
      <c r="D29" s="166">
        <v>2250</v>
      </c>
      <c r="E29" s="166">
        <v>2250</v>
      </c>
      <c r="F29" s="166">
        <v>2250</v>
      </c>
      <c r="G29" s="166">
        <v>2250</v>
      </c>
      <c r="H29" s="166"/>
      <c r="I29" s="166">
        <v>2250</v>
      </c>
      <c r="J29" s="166">
        <v>2250</v>
      </c>
    </row>
    <row r="30" spans="1:10" ht="15.6" x14ac:dyDescent="0.3">
      <c r="A30" s="404" t="s">
        <v>95</v>
      </c>
      <c r="B30" s="404"/>
      <c r="C30" s="405"/>
      <c r="D30" s="166">
        <v>750</v>
      </c>
      <c r="E30" s="166">
        <v>750</v>
      </c>
      <c r="F30" s="166">
        <v>750</v>
      </c>
      <c r="G30" s="166">
        <v>750</v>
      </c>
      <c r="H30" s="166"/>
      <c r="I30" s="166">
        <v>750</v>
      </c>
      <c r="J30" s="166">
        <v>750</v>
      </c>
    </row>
    <row r="31" spans="1:10" ht="15.6" x14ac:dyDescent="0.3">
      <c r="A31" s="404" t="s">
        <v>96</v>
      </c>
      <c r="B31" s="404"/>
      <c r="C31" s="405"/>
      <c r="D31" s="166">
        <v>500</v>
      </c>
      <c r="E31" s="166">
        <v>500</v>
      </c>
      <c r="F31" s="166">
        <v>500</v>
      </c>
      <c r="G31" s="166">
        <v>500</v>
      </c>
      <c r="H31" s="166"/>
      <c r="I31" s="166">
        <v>500</v>
      </c>
      <c r="J31" s="166">
        <v>500</v>
      </c>
    </row>
    <row r="32" spans="1:10" ht="15.6" x14ac:dyDescent="0.3">
      <c r="A32" s="404" t="s">
        <v>98</v>
      </c>
      <c r="B32" s="404"/>
      <c r="C32" s="405"/>
      <c r="D32" s="166">
        <v>6500</v>
      </c>
      <c r="E32" s="166">
        <v>6500</v>
      </c>
      <c r="F32" s="166">
        <v>6500</v>
      </c>
      <c r="G32" s="166">
        <v>6500</v>
      </c>
      <c r="H32" s="166"/>
      <c r="I32" s="166">
        <v>6500</v>
      </c>
      <c r="J32" s="166">
        <v>6500</v>
      </c>
    </row>
    <row r="33" spans="1:10" ht="15.6" x14ac:dyDescent="0.3">
      <c r="A33" s="404" t="s">
        <v>407</v>
      </c>
      <c r="B33" s="404"/>
      <c r="C33" s="405"/>
      <c r="D33" s="166">
        <v>1200</v>
      </c>
      <c r="E33" s="166">
        <v>1250</v>
      </c>
      <c r="F33" s="166">
        <v>1275</v>
      </c>
      <c r="G33" s="166">
        <v>1300</v>
      </c>
      <c r="H33" s="166"/>
      <c r="I33" s="166">
        <v>1325</v>
      </c>
      <c r="J33" s="166">
        <v>1350</v>
      </c>
    </row>
    <row r="34" spans="1:10" ht="15.6" x14ac:dyDescent="0.3">
      <c r="A34" s="404" t="s">
        <v>99</v>
      </c>
      <c r="B34" s="404"/>
      <c r="C34" s="405"/>
      <c r="D34" s="166">
        <v>250</v>
      </c>
      <c r="E34" s="166">
        <v>250</v>
      </c>
      <c r="F34" s="166">
        <v>250</v>
      </c>
      <c r="G34" s="166">
        <v>250</v>
      </c>
      <c r="H34" s="166"/>
      <c r="I34" s="166">
        <v>250</v>
      </c>
      <c r="J34" s="166">
        <v>250</v>
      </c>
    </row>
    <row r="35" spans="1:10" ht="15.6" x14ac:dyDescent="0.3">
      <c r="A35" s="404" t="s">
        <v>100</v>
      </c>
      <c r="B35" s="404"/>
      <c r="C35" s="405"/>
      <c r="D35" s="166">
        <v>500</v>
      </c>
      <c r="E35" s="166">
        <v>500</v>
      </c>
      <c r="F35" s="166">
        <v>500</v>
      </c>
      <c r="G35" s="166">
        <v>500</v>
      </c>
      <c r="H35" s="166"/>
      <c r="I35" s="166">
        <v>500</v>
      </c>
      <c r="J35" s="166">
        <v>500</v>
      </c>
    </row>
    <row r="36" spans="1:10" ht="15.6" x14ac:dyDescent="0.3">
      <c r="A36" s="419"/>
      <c r="B36" s="419"/>
      <c r="C36" s="405"/>
      <c r="D36" s="173"/>
      <c r="E36" s="173"/>
      <c r="F36" s="173"/>
      <c r="G36" s="173"/>
      <c r="H36" s="173"/>
      <c r="I36" s="173"/>
      <c r="J36" s="173"/>
    </row>
    <row r="37" spans="1:10" ht="15.6" x14ac:dyDescent="0.3">
      <c r="A37" s="397" t="s">
        <v>338</v>
      </c>
      <c r="B37" s="397"/>
      <c r="C37" s="405"/>
      <c r="D37" s="183">
        <f>D11+D22+D28+D29+D30+D31+D32+D33+D34+D35</f>
        <v>19350</v>
      </c>
      <c r="E37" s="183">
        <f t="shared" ref="E37:G37" si="6">E11+E22+E28+E29+E30+E31+E32+E33+E34+E35</f>
        <v>19400</v>
      </c>
      <c r="F37" s="183">
        <f t="shared" si="6"/>
        <v>19425</v>
      </c>
      <c r="G37" s="183">
        <f t="shared" si="6"/>
        <v>19450</v>
      </c>
      <c r="H37" s="183"/>
      <c r="I37" s="183">
        <f t="shared" ref="I37:J37" si="7">I11+I22+I28+I29+I30+I31+I32+I33+I34+I35</f>
        <v>19475</v>
      </c>
      <c r="J37" s="183">
        <f t="shared" si="7"/>
        <v>19500</v>
      </c>
    </row>
  </sheetData>
  <mergeCells count="1">
    <mergeCell ref="G2:I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T153"/>
  <sheetViews>
    <sheetView zoomScale="50" zoomScaleNormal="50" workbookViewId="0">
      <pane ySplit="1128" topLeftCell="A122" activePane="bottomLeft"/>
      <selection activeCell="B4" sqref="B4"/>
      <selection pane="bottomLeft" activeCell="A6" sqref="A6"/>
    </sheetView>
  </sheetViews>
  <sheetFormatPr defaultRowHeight="14.4" x14ac:dyDescent="0.3"/>
  <cols>
    <col min="1" max="1" width="47" style="134" customWidth="1"/>
    <col min="2" max="2" width="22.77734375" style="134" customWidth="1"/>
    <col min="3" max="3" width="9.33203125" customWidth="1"/>
    <col min="4" max="4" width="15.88671875" style="42" hidden="1" customWidth="1"/>
    <col min="5" max="5" width="3.6640625" style="2" hidden="1" customWidth="1"/>
    <col min="6" max="6" width="11.5546875" style="296" customWidth="1"/>
    <col min="7" max="7" width="21.88671875" style="58" customWidth="1"/>
    <col min="8" max="18" width="13.88671875" style="58" customWidth="1"/>
    <col min="19" max="19" width="12.88671875" customWidth="1"/>
    <col min="20" max="20" width="15.109375" customWidth="1"/>
  </cols>
  <sheetData>
    <row r="1" spans="1:20" x14ac:dyDescent="0.3">
      <c r="B1" s="28" t="s">
        <v>267</v>
      </c>
      <c r="S1" s="82">
        <v>42353</v>
      </c>
    </row>
    <row r="2" spans="1:20" x14ac:dyDescent="0.3">
      <c r="B2" s="28" t="s">
        <v>65</v>
      </c>
    </row>
    <row r="3" spans="1:20" ht="21" thickBot="1" x14ac:dyDescent="0.4">
      <c r="A3" s="234" t="s">
        <v>72</v>
      </c>
      <c r="B3" s="234"/>
      <c r="F3" s="297" t="s">
        <v>251</v>
      </c>
    </row>
    <row r="4" spans="1:20" s="79" customFormat="1" ht="31.2" x14ac:dyDescent="0.3">
      <c r="A4" s="236"/>
      <c r="B4" s="287" t="s">
        <v>280</v>
      </c>
      <c r="C4" s="83" t="s">
        <v>68</v>
      </c>
      <c r="D4" s="80"/>
      <c r="E4" s="81"/>
      <c r="F4" s="297" t="s">
        <v>252</v>
      </c>
      <c r="G4" s="557"/>
      <c r="H4" s="557"/>
      <c r="I4" s="557"/>
      <c r="J4" s="558">
        <v>2016</v>
      </c>
      <c r="K4" s="558"/>
      <c r="L4" s="558"/>
      <c r="M4" s="558"/>
      <c r="N4" s="558"/>
      <c r="O4" s="558"/>
      <c r="P4" s="558"/>
      <c r="Q4" s="558"/>
      <c r="R4" s="345"/>
      <c r="S4" s="87" t="s">
        <v>69</v>
      </c>
    </row>
    <row r="5" spans="1:20" ht="16.2" thickBot="1" x14ac:dyDescent="0.35">
      <c r="A5" s="239"/>
      <c r="C5" s="84" t="s">
        <v>67</v>
      </c>
      <c r="D5" s="67" t="s">
        <v>52</v>
      </c>
      <c r="E5" s="68" t="s">
        <v>66</v>
      </c>
      <c r="F5" s="297" t="s">
        <v>253</v>
      </c>
      <c r="G5" s="66" t="s">
        <v>53</v>
      </c>
      <c r="H5" s="66" t="s">
        <v>54</v>
      </c>
      <c r="I5" s="66" t="s">
        <v>55</v>
      </c>
      <c r="J5" s="85" t="s">
        <v>56</v>
      </c>
      <c r="K5" s="85" t="s">
        <v>57</v>
      </c>
      <c r="L5" s="85" t="s">
        <v>58</v>
      </c>
      <c r="M5" s="85" t="s">
        <v>59</v>
      </c>
      <c r="N5" s="85" t="s">
        <v>60</v>
      </c>
      <c r="O5" s="85" t="s">
        <v>61</v>
      </c>
      <c r="P5" s="85" t="s">
        <v>62</v>
      </c>
      <c r="Q5" s="85" t="s">
        <v>63</v>
      </c>
      <c r="R5" s="85" t="s">
        <v>261</v>
      </c>
      <c r="S5" s="86" t="s">
        <v>64</v>
      </c>
      <c r="T5" s="58" t="s">
        <v>64</v>
      </c>
    </row>
    <row r="6" spans="1:20" ht="15.6" x14ac:dyDescent="0.3">
      <c r="A6" s="247" t="s">
        <v>250</v>
      </c>
      <c r="B6" s="247"/>
      <c r="C6" s="285"/>
      <c r="D6" s="286"/>
      <c r="E6" s="51"/>
      <c r="F6" s="298"/>
      <c r="G6" s="300">
        <v>182292</v>
      </c>
      <c r="H6" s="300">
        <f t="shared" ref="H6:Q6" si="0">G153</f>
        <v>250396.43663816</v>
      </c>
      <c r="I6" s="300">
        <f t="shared" si="0"/>
        <v>306700.87327632005</v>
      </c>
      <c r="J6" s="300">
        <f t="shared" si="0"/>
        <v>468955.30991448008</v>
      </c>
      <c r="K6" s="300">
        <f t="shared" si="0"/>
        <v>636549.74655264011</v>
      </c>
      <c r="L6" s="300">
        <f t="shared" si="0"/>
        <v>782954.18319080013</v>
      </c>
      <c r="M6" s="300">
        <f t="shared" si="0"/>
        <v>931972.35482896015</v>
      </c>
      <c r="N6" s="300">
        <f t="shared" si="0"/>
        <v>1131708.5264671203</v>
      </c>
      <c r="O6" s="300">
        <f t="shared" si="0"/>
        <v>1304341.6981052803</v>
      </c>
      <c r="P6" s="300">
        <f t="shared" si="0"/>
        <v>1412383.81260528</v>
      </c>
      <c r="Q6" s="300">
        <f t="shared" si="0"/>
        <v>1066332.11710528</v>
      </c>
      <c r="R6" s="299">
        <f>Q153</f>
        <v>882197.72360528004</v>
      </c>
      <c r="S6" s="301"/>
      <c r="T6" s="58"/>
    </row>
    <row r="7" spans="1:20" ht="15.6" x14ac:dyDescent="0.3">
      <c r="A7" s="247"/>
      <c r="B7" s="247"/>
      <c r="C7" s="285"/>
      <c r="D7" s="286"/>
      <c r="E7" s="51"/>
      <c r="F7" s="298"/>
      <c r="G7" s="303"/>
      <c r="H7" s="303"/>
      <c r="I7" s="303"/>
      <c r="J7" s="303"/>
      <c r="K7" s="303"/>
      <c r="L7" s="303"/>
      <c r="M7" s="303"/>
      <c r="N7" s="303"/>
      <c r="O7" s="303"/>
      <c r="P7" s="303"/>
      <c r="Q7" s="303"/>
      <c r="R7" s="302"/>
      <c r="S7" s="335">
        <f t="shared" ref="S7:S38" si="1">SUM(G7:Q7)</f>
        <v>0</v>
      </c>
      <c r="T7" s="58"/>
    </row>
    <row r="8" spans="1:20" ht="20.399999999999999" x14ac:dyDescent="0.3">
      <c r="A8" s="294" t="s">
        <v>39</v>
      </c>
      <c r="B8" s="284"/>
      <c r="D8" s="44"/>
      <c r="E8" s="69"/>
      <c r="F8" s="7"/>
      <c r="G8" s="306"/>
      <c r="H8" s="306"/>
      <c r="I8" s="306"/>
      <c r="J8" s="306"/>
      <c r="K8" s="306"/>
      <c r="L8" s="306"/>
      <c r="M8" s="306"/>
      <c r="N8" s="306"/>
      <c r="O8" s="306"/>
      <c r="P8" s="306"/>
      <c r="Q8" s="306"/>
      <c r="R8" s="305"/>
      <c r="S8" s="336">
        <f t="shared" si="1"/>
        <v>0</v>
      </c>
    </row>
    <row r="9" spans="1:20" ht="15.6" x14ac:dyDescent="0.3">
      <c r="A9" s="138" t="s">
        <v>248</v>
      </c>
      <c r="B9" s="141">
        <v>664917.92639999988</v>
      </c>
      <c r="D9" s="44"/>
      <c r="E9" s="69"/>
      <c r="F9" s="7">
        <v>124500</v>
      </c>
      <c r="G9" s="306">
        <v>42000</v>
      </c>
      <c r="H9" s="306">
        <v>37500</v>
      </c>
      <c r="I9" s="306">
        <v>41500</v>
      </c>
      <c r="J9" s="306">
        <v>89500</v>
      </c>
      <c r="K9" s="306">
        <v>78800</v>
      </c>
      <c r="L9" s="306">
        <v>85000</v>
      </c>
      <c r="M9" s="306">
        <v>114618</v>
      </c>
      <c r="N9" s="306">
        <v>24000</v>
      </c>
      <c r="O9" s="306">
        <f>B9-SUM(G9:N9)</f>
        <v>151999.92639999988</v>
      </c>
      <c r="P9" s="306"/>
      <c r="Q9" s="306"/>
      <c r="R9" s="305">
        <v>145000</v>
      </c>
      <c r="S9" s="336">
        <f t="shared" si="1"/>
        <v>664917.92639999988</v>
      </c>
      <c r="T9" s="290"/>
    </row>
    <row r="10" spans="1:20" ht="15.6" x14ac:dyDescent="0.3">
      <c r="A10" s="138" t="s">
        <v>249</v>
      </c>
      <c r="B10" s="141">
        <v>641170.85759999987</v>
      </c>
      <c r="C10" s="43"/>
      <c r="D10" s="44"/>
      <c r="E10" s="69"/>
      <c r="F10" s="7"/>
      <c r="G10" s="306"/>
      <c r="H10" s="306"/>
      <c r="I10" s="306">
        <v>37500</v>
      </c>
      <c r="J10" s="306">
        <v>78890</v>
      </c>
      <c r="K10" s="306">
        <v>84500</v>
      </c>
      <c r="L10" s="306">
        <v>82100</v>
      </c>
      <c r="M10" s="306">
        <v>102500</v>
      </c>
      <c r="N10" s="306">
        <v>147500</v>
      </c>
      <c r="O10" s="306">
        <f>B10-SUM(G10:N10)</f>
        <v>108180.85759999987</v>
      </c>
      <c r="P10" s="306"/>
      <c r="Q10" s="306"/>
      <c r="R10" s="305">
        <v>37500</v>
      </c>
      <c r="S10" s="336">
        <f t="shared" si="1"/>
        <v>641170.85759999987</v>
      </c>
      <c r="T10" s="290"/>
    </row>
    <row r="11" spans="1:20" ht="15.6" x14ac:dyDescent="0.3">
      <c r="A11" s="138" t="s">
        <v>164</v>
      </c>
      <c r="B11" s="142">
        <v>67000</v>
      </c>
      <c r="D11" s="44" t="e">
        <f>#REF!</f>
        <v>#REF!</v>
      </c>
      <c r="E11" s="69"/>
      <c r="F11" s="7"/>
      <c r="G11" s="306">
        <v>45000</v>
      </c>
      <c r="H11" s="306">
        <v>22000</v>
      </c>
      <c r="I11" s="306"/>
      <c r="J11" s="306"/>
      <c r="K11" s="306"/>
      <c r="L11" s="306"/>
      <c r="M11" s="306"/>
      <c r="N11" s="306"/>
      <c r="O11" s="306"/>
      <c r="P11" s="306"/>
      <c r="Q11" s="306"/>
      <c r="R11" s="305"/>
      <c r="S11" s="337">
        <f t="shared" si="1"/>
        <v>67000</v>
      </c>
      <c r="T11" s="290"/>
    </row>
    <row r="12" spans="1:20" ht="15.6" x14ac:dyDescent="0.3">
      <c r="A12" s="138" t="s">
        <v>78</v>
      </c>
      <c r="B12" s="142">
        <v>20000</v>
      </c>
      <c r="D12" s="44" t="e">
        <f>#REF!</f>
        <v>#REF!</v>
      </c>
      <c r="E12" s="69"/>
      <c r="F12" s="7"/>
      <c r="G12" s="306">
        <v>4500</v>
      </c>
      <c r="H12" s="306">
        <v>4500</v>
      </c>
      <c r="I12" s="306"/>
      <c r="J12" s="306"/>
      <c r="K12" s="306"/>
      <c r="L12" s="306"/>
      <c r="M12" s="306"/>
      <c r="N12" s="306">
        <v>4500</v>
      </c>
      <c r="O12" s="306">
        <f>B12-SUM(G12:N12)</f>
        <v>6500</v>
      </c>
      <c r="P12" s="306"/>
      <c r="Q12" s="306"/>
      <c r="R12" s="305"/>
      <c r="S12" s="337">
        <f t="shared" si="1"/>
        <v>20000</v>
      </c>
      <c r="T12" s="290"/>
    </row>
    <row r="13" spans="1:20" ht="15.6" x14ac:dyDescent="0.3">
      <c r="A13" s="138" t="s">
        <v>165</v>
      </c>
      <c r="B13" s="142"/>
      <c r="D13" s="44" t="e">
        <f>#REF!</f>
        <v>#REF!</v>
      </c>
      <c r="E13" s="69"/>
      <c r="F13" s="7"/>
      <c r="G13" s="306"/>
      <c r="H13" s="306"/>
      <c r="I13" s="306"/>
      <c r="J13" s="306"/>
      <c r="K13" s="306"/>
      <c r="L13" s="306"/>
      <c r="M13" s="306"/>
      <c r="N13" s="306"/>
      <c r="O13" s="306"/>
      <c r="P13" s="306"/>
      <c r="Q13" s="306"/>
      <c r="R13" s="305">
        <v>250</v>
      </c>
      <c r="S13" s="337">
        <f t="shared" si="1"/>
        <v>0</v>
      </c>
      <c r="T13" s="290"/>
    </row>
    <row r="14" spans="1:20" ht="15.6" x14ac:dyDescent="0.3">
      <c r="A14" s="138" t="s">
        <v>193</v>
      </c>
      <c r="B14" s="142">
        <v>59000</v>
      </c>
      <c r="C14" s="11"/>
      <c r="D14" s="45" t="e">
        <f>#REF!</f>
        <v>#REF!</v>
      </c>
      <c r="E14" s="70"/>
      <c r="F14" s="201"/>
      <c r="G14" s="306">
        <v>4500</v>
      </c>
      <c r="H14" s="306">
        <v>5200</v>
      </c>
      <c r="I14" s="306">
        <v>12000</v>
      </c>
      <c r="J14" s="306">
        <v>2100</v>
      </c>
      <c r="K14" s="306">
        <v>4500</v>
      </c>
      <c r="L14" s="306">
        <v>4500</v>
      </c>
      <c r="M14" s="306">
        <v>5200</v>
      </c>
      <c r="N14" s="306">
        <v>5000</v>
      </c>
      <c r="O14" s="306">
        <v>5000</v>
      </c>
      <c r="P14" s="306">
        <v>5000</v>
      </c>
      <c r="Q14" s="306">
        <f>B14-SUM(G14:P14)</f>
        <v>6000</v>
      </c>
      <c r="R14" s="305"/>
      <c r="S14" s="337">
        <f t="shared" si="1"/>
        <v>59000</v>
      </c>
      <c r="T14" s="290"/>
    </row>
    <row r="15" spans="1:20" ht="15.6" x14ac:dyDescent="0.3">
      <c r="A15" s="138" t="s">
        <v>194</v>
      </c>
      <c r="B15" s="142">
        <v>25000</v>
      </c>
      <c r="C15" s="28"/>
      <c r="D15" s="44" t="e">
        <f>#REF!</f>
        <v>#REF!</v>
      </c>
      <c r="E15" s="69"/>
      <c r="F15" s="7"/>
      <c r="G15" s="306"/>
      <c r="H15" s="306">
        <v>15000</v>
      </c>
      <c r="I15" s="306"/>
      <c r="J15" s="306"/>
      <c r="K15" s="306"/>
      <c r="L15" s="306"/>
      <c r="M15" s="306"/>
      <c r="N15" s="306">
        <v>10000</v>
      </c>
      <c r="O15" s="306"/>
      <c r="P15" s="306"/>
      <c r="Q15" s="306"/>
      <c r="R15" s="305"/>
      <c r="S15" s="337">
        <f t="shared" si="1"/>
        <v>25000</v>
      </c>
      <c r="T15" s="290"/>
    </row>
    <row r="16" spans="1:20" ht="16.2" thickBot="1" x14ac:dyDescent="0.35">
      <c r="A16" s="138" t="s">
        <v>178</v>
      </c>
      <c r="B16" s="142">
        <v>176850</v>
      </c>
      <c r="C16" s="28"/>
      <c r="D16" s="44"/>
      <c r="E16" s="69"/>
      <c r="F16" s="7"/>
      <c r="G16" s="306"/>
      <c r="H16" s="306"/>
      <c r="I16" s="306">
        <v>100000</v>
      </c>
      <c r="J16" s="306">
        <v>25000</v>
      </c>
      <c r="K16" s="306">
        <v>6500</v>
      </c>
      <c r="L16" s="306">
        <v>6500</v>
      </c>
      <c r="M16" s="306">
        <v>6500</v>
      </c>
      <c r="N16" s="306">
        <v>10000</v>
      </c>
      <c r="O16" s="306">
        <v>22000</v>
      </c>
      <c r="P16" s="306">
        <v>0</v>
      </c>
      <c r="Q16" s="306">
        <f>B16-SUM(G16:P16)</f>
        <v>350</v>
      </c>
      <c r="R16" s="305"/>
      <c r="S16" s="336">
        <f t="shared" si="1"/>
        <v>176850</v>
      </c>
      <c r="T16" s="290"/>
    </row>
    <row r="17" spans="1:20" ht="16.2" thickTop="1" x14ac:dyDescent="0.3">
      <c r="A17" s="254" t="s">
        <v>80</v>
      </c>
      <c r="B17" s="255">
        <f>SUM(B9:B16)</f>
        <v>1653938.7839999998</v>
      </c>
      <c r="C17" s="48"/>
      <c r="D17" s="44" t="e">
        <f>#REF!</f>
        <v>#REF!</v>
      </c>
      <c r="E17" s="69"/>
      <c r="F17" s="7"/>
      <c r="G17" s="309">
        <f t="shared" ref="G17:Q17" si="2">SUM(G9:G16)</f>
        <v>96000</v>
      </c>
      <c r="H17" s="309">
        <f t="shared" si="2"/>
        <v>84200</v>
      </c>
      <c r="I17" s="309">
        <f t="shared" si="2"/>
        <v>191000</v>
      </c>
      <c r="J17" s="309">
        <f t="shared" si="2"/>
        <v>195490</v>
      </c>
      <c r="K17" s="309">
        <f t="shared" si="2"/>
        <v>174300</v>
      </c>
      <c r="L17" s="309">
        <f t="shared" si="2"/>
        <v>178100</v>
      </c>
      <c r="M17" s="309">
        <f t="shared" si="2"/>
        <v>228818</v>
      </c>
      <c r="N17" s="309">
        <f t="shared" si="2"/>
        <v>201000</v>
      </c>
      <c r="O17" s="309">
        <f t="shared" si="2"/>
        <v>293680.78399999975</v>
      </c>
      <c r="P17" s="309">
        <f t="shared" si="2"/>
        <v>5000</v>
      </c>
      <c r="Q17" s="309">
        <f t="shared" si="2"/>
        <v>6350</v>
      </c>
      <c r="R17" s="308">
        <f t="shared" ref="R17" si="3">SUM(R9:R16)</f>
        <v>182750</v>
      </c>
      <c r="S17" s="310">
        <f t="shared" si="1"/>
        <v>1653938.7839999998</v>
      </c>
      <c r="T17" s="290"/>
    </row>
    <row r="18" spans="1:20" s="28" customFormat="1" ht="16.2" thickBot="1" x14ac:dyDescent="0.35">
      <c r="A18" s="149"/>
      <c r="B18" s="150"/>
      <c r="C18" s="63"/>
      <c r="D18" s="64" t="e">
        <f>#REF!</f>
        <v>#REF!</v>
      </c>
      <c r="E18" s="65"/>
      <c r="F18" s="311"/>
      <c r="G18" s="313"/>
      <c r="H18" s="313"/>
      <c r="I18" s="313"/>
      <c r="J18" s="313"/>
      <c r="K18" s="313"/>
      <c r="L18" s="313"/>
      <c r="M18" s="313"/>
      <c r="N18" s="313"/>
      <c r="O18" s="313"/>
      <c r="P18" s="313"/>
      <c r="Q18" s="313"/>
      <c r="R18" s="312"/>
      <c r="S18" s="314">
        <f t="shared" si="1"/>
        <v>0</v>
      </c>
      <c r="T18" s="291"/>
    </row>
    <row r="19" spans="1:20" ht="21" thickBot="1" x14ac:dyDescent="0.35">
      <c r="A19" s="295" t="s">
        <v>48</v>
      </c>
      <c r="B19" s="258"/>
      <c r="D19" s="44"/>
      <c r="E19" s="69"/>
      <c r="F19" s="7"/>
      <c r="G19" s="306"/>
      <c r="H19" s="306"/>
      <c r="I19" s="306"/>
      <c r="J19" s="306"/>
      <c r="K19" s="306"/>
      <c r="L19" s="306"/>
      <c r="M19" s="306"/>
      <c r="N19" s="306"/>
      <c r="O19" s="306"/>
      <c r="P19" s="306"/>
      <c r="Q19" s="306"/>
      <c r="R19" s="305"/>
      <c r="S19" s="307">
        <f t="shared" si="1"/>
        <v>0</v>
      </c>
      <c r="T19" s="290"/>
    </row>
    <row r="20" spans="1:20" s="28" customFormat="1" ht="15.6" x14ac:dyDescent="0.3">
      <c r="A20" s="138" t="s">
        <v>79</v>
      </c>
      <c r="B20" s="142"/>
      <c r="C20" s="46"/>
      <c r="D20" s="47" t="e">
        <f>#REF!- D15</f>
        <v>#REF!</v>
      </c>
      <c r="E20" s="62"/>
      <c r="F20" s="315"/>
      <c r="G20" s="317"/>
      <c r="H20" s="317"/>
      <c r="I20" s="317"/>
      <c r="J20" s="317"/>
      <c r="K20" s="317"/>
      <c r="L20" s="317"/>
      <c r="M20" s="317"/>
      <c r="N20" s="317"/>
      <c r="O20" s="317"/>
      <c r="P20" s="318"/>
      <c r="Q20" s="318"/>
      <c r="R20" s="316"/>
      <c r="S20" s="304">
        <f t="shared" si="1"/>
        <v>0</v>
      </c>
      <c r="T20" s="291"/>
    </row>
    <row r="21" spans="1:20" ht="15.6" x14ac:dyDescent="0.3">
      <c r="A21" s="138" t="s">
        <v>166</v>
      </c>
      <c r="B21" s="145">
        <v>-65304.439199999993</v>
      </c>
      <c r="C21" s="59"/>
      <c r="D21" s="60"/>
      <c r="E21" s="61"/>
      <c r="F21" s="229"/>
      <c r="G21" s="320">
        <v>15000</v>
      </c>
      <c r="H21" s="320">
        <v>15000</v>
      </c>
      <c r="I21" s="320">
        <v>10304</v>
      </c>
      <c r="J21" s="320"/>
      <c r="K21" s="320"/>
      <c r="L21" s="320"/>
      <c r="M21" s="320"/>
      <c r="N21" s="320"/>
      <c r="O21" s="320"/>
      <c r="P21" s="320"/>
      <c r="Q21" s="320"/>
      <c r="R21" s="319">
        <v>25000</v>
      </c>
      <c r="S21" s="307">
        <f t="shared" si="1"/>
        <v>40304</v>
      </c>
      <c r="T21" s="290"/>
    </row>
    <row r="22" spans="1:20" ht="15.6" x14ac:dyDescent="0.3">
      <c r="A22" s="138" t="s">
        <v>167</v>
      </c>
      <c r="B22" s="145">
        <v>-13060.887839999998</v>
      </c>
      <c r="C22" s="43"/>
      <c r="D22" s="44"/>
      <c r="E22" s="69"/>
      <c r="F22" s="7"/>
      <c r="G22" s="306"/>
      <c r="H22" s="306"/>
      <c r="I22" s="306"/>
      <c r="J22" s="306">
        <v>4500</v>
      </c>
      <c r="K22" s="306">
        <v>4500</v>
      </c>
      <c r="L22" s="306">
        <v>4061</v>
      </c>
      <c r="M22" s="306"/>
      <c r="N22" s="306"/>
      <c r="O22" s="306"/>
      <c r="P22" s="306"/>
      <c r="Q22" s="306"/>
      <c r="R22" s="305"/>
      <c r="S22" s="307">
        <f t="shared" si="1"/>
        <v>13061</v>
      </c>
      <c r="T22" s="290"/>
    </row>
    <row r="23" spans="1:20" ht="15.6" x14ac:dyDescent="0.3">
      <c r="A23" s="138" t="s">
        <v>168</v>
      </c>
      <c r="B23" s="145">
        <v>-195913.31759999995</v>
      </c>
      <c r="C23" s="48"/>
      <c r="D23" s="44" t="e">
        <f>#REF!</f>
        <v>#REF!</v>
      </c>
      <c r="E23" s="69"/>
      <c r="F23" s="7"/>
      <c r="G23" s="306"/>
      <c r="H23" s="306"/>
      <c r="I23" s="306">
        <v>43413</v>
      </c>
      <c r="J23" s="306">
        <v>62500</v>
      </c>
      <c r="K23" s="306">
        <v>45000</v>
      </c>
      <c r="L23" s="306">
        <v>45000</v>
      </c>
      <c r="M23" s="306">
        <v>0</v>
      </c>
      <c r="N23" s="306"/>
      <c r="O23" s="306"/>
      <c r="P23" s="306"/>
      <c r="Q23" s="306">
        <f>B23+SUM(G23:P23)</f>
        <v>-0.3175999999511987</v>
      </c>
      <c r="R23" s="305"/>
      <c r="S23" s="321">
        <f t="shared" si="1"/>
        <v>195912.68240000005</v>
      </c>
      <c r="T23" s="290"/>
    </row>
    <row r="24" spans="1:20" ht="15.6" x14ac:dyDescent="0.3">
      <c r="A24" s="138" t="s">
        <v>169</v>
      </c>
      <c r="B24" s="145">
        <v>-39182.663519999995</v>
      </c>
      <c r="C24" s="48"/>
      <c r="D24" s="44"/>
      <c r="E24" s="69"/>
      <c r="F24" s="7"/>
      <c r="G24" s="306"/>
      <c r="H24" s="306"/>
      <c r="I24" s="306">
        <v>12500</v>
      </c>
      <c r="J24" s="306">
        <v>12500</v>
      </c>
      <c r="K24" s="306">
        <v>12500</v>
      </c>
      <c r="L24" s="306">
        <v>1683</v>
      </c>
      <c r="M24" s="306"/>
      <c r="N24" s="306"/>
      <c r="O24" s="306"/>
      <c r="P24" s="306"/>
      <c r="Q24" s="306"/>
      <c r="R24" s="305"/>
      <c r="S24" s="321">
        <f t="shared" si="1"/>
        <v>39183</v>
      </c>
      <c r="T24" s="290"/>
    </row>
    <row r="25" spans="1:20" ht="15.6" x14ac:dyDescent="0.3">
      <c r="A25" s="138"/>
      <c r="B25" s="288"/>
      <c r="C25" s="48"/>
      <c r="D25" s="44" t="e">
        <f>#REF!</f>
        <v>#REF!</v>
      </c>
      <c r="E25" s="69"/>
      <c r="F25" s="7"/>
      <c r="G25" s="306"/>
      <c r="H25" s="306"/>
      <c r="I25" s="306"/>
      <c r="J25" s="306"/>
      <c r="K25" s="306"/>
      <c r="L25" s="306"/>
      <c r="M25" s="306"/>
      <c r="N25" s="306"/>
      <c r="O25" s="306"/>
      <c r="P25" s="306"/>
      <c r="Q25" s="306"/>
      <c r="R25" s="305"/>
      <c r="S25" s="321">
        <f t="shared" si="1"/>
        <v>0</v>
      </c>
      <c r="T25" s="290"/>
    </row>
    <row r="26" spans="1:20" ht="15.6" x14ac:dyDescent="0.3">
      <c r="A26" s="154" t="s">
        <v>254</v>
      </c>
      <c r="B26" s="157"/>
      <c r="C26" s="75"/>
      <c r="D26" s="76"/>
      <c r="E26" s="77"/>
      <c r="F26" s="322"/>
      <c r="G26" s="324"/>
      <c r="H26" s="324"/>
      <c r="I26" s="324"/>
      <c r="J26" s="324"/>
      <c r="K26" s="324"/>
      <c r="L26" s="324"/>
      <c r="M26" s="324"/>
      <c r="N26" s="324"/>
      <c r="O26" s="324"/>
      <c r="P26" s="324"/>
      <c r="Q26" s="324"/>
      <c r="R26" s="323"/>
      <c r="S26" s="325">
        <f t="shared" si="1"/>
        <v>0</v>
      </c>
      <c r="T26" s="290"/>
    </row>
    <row r="27" spans="1:20" s="41" customFormat="1" ht="15.6" x14ac:dyDescent="0.3">
      <c r="A27" s="259" t="s">
        <v>81</v>
      </c>
      <c r="B27" s="158">
        <v>215000</v>
      </c>
      <c r="D27" s="71"/>
      <c r="E27" s="13"/>
      <c r="F27" s="7"/>
      <c r="G27" s="306">
        <f t="shared" ref="G27:Q27" si="4">$B27/12</f>
        <v>17916.666666666668</v>
      </c>
      <c r="H27" s="306">
        <f t="shared" si="4"/>
        <v>17916.666666666668</v>
      </c>
      <c r="I27" s="306">
        <f t="shared" si="4"/>
        <v>17916.666666666668</v>
      </c>
      <c r="J27" s="306">
        <f t="shared" si="4"/>
        <v>17916.666666666668</v>
      </c>
      <c r="K27" s="306">
        <f t="shared" si="4"/>
        <v>17916.666666666668</v>
      </c>
      <c r="L27" s="306">
        <f t="shared" si="4"/>
        <v>17916.666666666668</v>
      </c>
      <c r="M27" s="306">
        <f t="shared" si="4"/>
        <v>17916.666666666668</v>
      </c>
      <c r="N27" s="306">
        <f t="shared" si="4"/>
        <v>17916.666666666668</v>
      </c>
      <c r="O27" s="306">
        <f t="shared" si="4"/>
        <v>17916.666666666668</v>
      </c>
      <c r="P27" s="306">
        <f t="shared" si="4"/>
        <v>17916.666666666668</v>
      </c>
      <c r="Q27" s="306">
        <f t="shared" si="4"/>
        <v>17916.666666666668</v>
      </c>
      <c r="R27" s="305">
        <f>$B27/12</f>
        <v>17916.666666666668</v>
      </c>
      <c r="S27" s="307">
        <f t="shared" si="1"/>
        <v>197083.33333333331</v>
      </c>
      <c r="T27" s="290"/>
    </row>
    <row r="28" spans="1:20" s="41" customFormat="1" ht="15.6" x14ac:dyDescent="0.3">
      <c r="A28" s="259" t="s">
        <v>82</v>
      </c>
      <c r="B28" s="158">
        <v>310700</v>
      </c>
      <c r="C28" s="78"/>
      <c r="D28" s="71"/>
      <c r="E28" s="13"/>
      <c r="F28" s="7"/>
      <c r="G28" s="306"/>
      <c r="H28" s="306"/>
      <c r="I28" s="306"/>
      <c r="J28" s="306"/>
      <c r="K28" s="306"/>
      <c r="L28" s="306"/>
      <c r="M28" s="306"/>
      <c r="N28" s="306"/>
      <c r="O28" s="306">
        <f>B28/4</f>
        <v>77675</v>
      </c>
      <c r="P28" s="306">
        <f>B28/2</f>
        <v>155350</v>
      </c>
      <c r="Q28" s="306">
        <f>B28/4</f>
        <v>77675</v>
      </c>
      <c r="R28" s="305"/>
      <c r="S28" s="307">
        <f t="shared" si="1"/>
        <v>310700</v>
      </c>
      <c r="T28" s="290"/>
    </row>
    <row r="29" spans="1:20" s="41" customFormat="1" ht="15.6" x14ac:dyDescent="0.3">
      <c r="A29" s="259" t="s">
        <v>83</v>
      </c>
      <c r="B29" s="158">
        <v>141500</v>
      </c>
      <c r="D29" s="71"/>
      <c r="E29" s="72" t="e">
        <f>SUM(#REF!)</f>
        <v>#REF!</v>
      </c>
      <c r="F29" s="326"/>
      <c r="G29" s="306"/>
      <c r="H29" s="306"/>
      <c r="I29" s="306"/>
      <c r="J29" s="306"/>
      <c r="K29" s="306"/>
      <c r="L29" s="306"/>
      <c r="M29" s="306"/>
      <c r="N29" s="306"/>
      <c r="O29" s="306">
        <f>B29/4</f>
        <v>35375</v>
      </c>
      <c r="P29" s="306">
        <f>B29/2</f>
        <v>70750</v>
      </c>
      <c r="Q29" s="306">
        <f>B29/4</f>
        <v>35375</v>
      </c>
      <c r="R29" s="305"/>
      <c r="S29" s="327">
        <f t="shared" si="1"/>
        <v>141500</v>
      </c>
      <c r="T29" s="290"/>
    </row>
    <row r="30" spans="1:20" s="41" customFormat="1" ht="15.6" x14ac:dyDescent="0.3">
      <c r="A30" s="159" t="s">
        <v>11</v>
      </c>
      <c r="B30" s="160">
        <v>5500</v>
      </c>
      <c r="D30" s="71"/>
      <c r="E30" s="72">
        <v>0</v>
      </c>
      <c r="F30" s="326"/>
      <c r="G30" s="306"/>
      <c r="H30" s="306"/>
      <c r="I30" s="306"/>
      <c r="J30" s="306"/>
      <c r="K30" s="306"/>
      <c r="L30" s="306"/>
      <c r="M30" s="306"/>
      <c r="N30" s="306"/>
      <c r="O30" s="306">
        <f>B30/4</f>
        <v>1375</v>
      </c>
      <c r="P30" s="306">
        <f>B30/2</f>
        <v>2750</v>
      </c>
      <c r="Q30" s="306">
        <f>B30/4</f>
        <v>1375</v>
      </c>
      <c r="R30" s="305"/>
      <c r="S30" s="327">
        <f t="shared" si="1"/>
        <v>5500</v>
      </c>
      <c r="T30" s="290"/>
    </row>
    <row r="31" spans="1:20" s="41" customFormat="1" ht="15.6" x14ac:dyDescent="0.3">
      <c r="A31" s="159" t="s">
        <v>24</v>
      </c>
      <c r="B31" s="161">
        <v>40032</v>
      </c>
      <c r="C31" s="49"/>
      <c r="D31" s="73"/>
      <c r="E31" s="74">
        <f>325000-60000</f>
        <v>265000</v>
      </c>
      <c r="F31" s="328"/>
      <c r="G31" s="305">
        <f t="shared" ref="G31:Q31" si="5">SUM(G27:G29)*0.06</f>
        <v>1075</v>
      </c>
      <c r="H31" s="305">
        <f t="shared" si="5"/>
        <v>1075</v>
      </c>
      <c r="I31" s="305">
        <f t="shared" si="5"/>
        <v>1075</v>
      </c>
      <c r="J31" s="305">
        <f t="shared" si="5"/>
        <v>1075</v>
      </c>
      <c r="K31" s="305">
        <f t="shared" si="5"/>
        <v>1075</v>
      </c>
      <c r="L31" s="305">
        <f t="shared" si="5"/>
        <v>1075</v>
      </c>
      <c r="M31" s="305">
        <f t="shared" si="5"/>
        <v>1075</v>
      </c>
      <c r="N31" s="305">
        <f t="shared" si="5"/>
        <v>1075</v>
      </c>
      <c r="O31" s="305">
        <f t="shared" si="5"/>
        <v>7858</v>
      </c>
      <c r="P31" s="305">
        <f t="shared" si="5"/>
        <v>14640.999999999998</v>
      </c>
      <c r="Q31" s="305">
        <f t="shared" si="5"/>
        <v>7858</v>
      </c>
      <c r="R31" s="305">
        <f>SUM(R27:R29)*0.06</f>
        <v>1075</v>
      </c>
      <c r="S31" s="327">
        <f t="shared" si="1"/>
        <v>38957</v>
      </c>
      <c r="T31" s="290"/>
    </row>
    <row r="32" spans="1:20" s="50" customFormat="1" ht="15.6" x14ac:dyDescent="0.3">
      <c r="A32" s="159" t="s">
        <v>84</v>
      </c>
      <c r="B32" s="141">
        <v>4000</v>
      </c>
      <c r="C32" s="338"/>
      <c r="D32" s="339"/>
      <c r="E32" s="340" t="e">
        <f>SUM(E29:E31)</f>
        <v>#REF!</v>
      </c>
      <c r="F32" s="341"/>
      <c r="G32" s="305">
        <f t="shared" ref="G32:Q32" si="6">$B32/12</f>
        <v>333.33333333333331</v>
      </c>
      <c r="H32" s="305">
        <f t="shared" si="6"/>
        <v>333.33333333333331</v>
      </c>
      <c r="I32" s="305">
        <f t="shared" si="6"/>
        <v>333.33333333333331</v>
      </c>
      <c r="J32" s="305">
        <f t="shared" si="6"/>
        <v>333.33333333333331</v>
      </c>
      <c r="K32" s="305">
        <f t="shared" si="6"/>
        <v>333.33333333333331</v>
      </c>
      <c r="L32" s="305">
        <f t="shared" si="6"/>
        <v>333.33333333333331</v>
      </c>
      <c r="M32" s="305">
        <f t="shared" si="6"/>
        <v>333.33333333333331</v>
      </c>
      <c r="N32" s="305">
        <f t="shared" si="6"/>
        <v>333.33333333333331</v>
      </c>
      <c r="O32" s="305">
        <f t="shared" si="6"/>
        <v>333.33333333333331</v>
      </c>
      <c r="P32" s="305">
        <f t="shared" si="6"/>
        <v>333.33333333333331</v>
      </c>
      <c r="Q32" s="305">
        <f t="shared" si="6"/>
        <v>333.33333333333331</v>
      </c>
      <c r="R32" s="305">
        <f>$B32/12</f>
        <v>333.33333333333331</v>
      </c>
      <c r="S32" s="327">
        <f t="shared" si="1"/>
        <v>3666.666666666667</v>
      </c>
      <c r="T32" s="291"/>
    </row>
    <row r="33" spans="1:20" ht="15.6" x14ac:dyDescent="0.3">
      <c r="A33" s="159" t="s">
        <v>85</v>
      </c>
      <c r="B33" s="269">
        <v>300</v>
      </c>
      <c r="F33" s="7"/>
      <c r="G33" s="306"/>
      <c r="H33" s="306"/>
      <c r="I33" s="306"/>
      <c r="J33" s="306"/>
      <c r="K33" s="306"/>
      <c r="L33" s="306"/>
      <c r="M33" s="306"/>
      <c r="N33" s="306"/>
      <c r="O33" s="306">
        <v>150</v>
      </c>
      <c r="P33" s="306"/>
      <c r="Q33" s="306">
        <v>150</v>
      </c>
      <c r="R33" s="305"/>
      <c r="S33" s="307">
        <f t="shared" si="1"/>
        <v>300</v>
      </c>
      <c r="T33" s="290"/>
    </row>
    <row r="34" spans="1:20" ht="15.6" x14ac:dyDescent="0.3">
      <c r="A34" s="159" t="s">
        <v>86</v>
      </c>
      <c r="B34" s="269">
        <v>650</v>
      </c>
      <c r="F34" s="7"/>
      <c r="G34" s="306"/>
      <c r="H34" s="306"/>
      <c r="I34" s="306"/>
      <c r="J34" s="306"/>
      <c r="K34" s="306"/>
      <c r="L34" s="306"/>
      <c r="M34" s="306"/>
      <c r="N34" s="306"/>
      <c r="O34" s="306">
        <v>650</v>
      </c>
      <c r="P34" s="306"/>
      <c r="Q34" s="306"/>
      <c r="R34" s="305"/>
      <c r="S34" s="307">
        <f t="shared" si="1"/>
        <v>650</v>
      </c>
      <c r="T34" s="290"/>
    </row>
    <row r="35" spans="1:20" ht="15.6" x14ac:dyDescent="0.3">
      <c r="A35" s="159" t="s">
        <v>87</v>
      </c>
      <c r="B35" s="269">
        <v>1200</v>
      </c>
      <c r="F35" s="7"/>
      <c r="G35" s="306"/>
      <c r="H35" s="306"/>
      <c r="I35" s="306"/>
      <c r="J35" s="306"/>
      <c r="K35" s="306"/>
      <c r="L35" s="306"/>
      <c r="M35" s="306"/>
      <c r="N35" s="306"/>
      <c r="O35" s="306"/>
      <c r="P35" s="306"/>
      <c r="Q35" s="306">
        <v>1200</v>
      </c>
      <c r="R35" s="305"/>
      <c r="S35" s="307">
        <f t="shared" si="1"/>
        <v>1200</v>
      </c>
      <c r="T35" s="290"/>
    </row>
    <row r="36" spans="1:20" ht="15.6" x14ac:dyDescent="0.3">
      <c r="A36" s="162" t="s">
        <v>88</v>
      </c>
      <c r="B36" s="163"/>
      <c r="F36" s="7"/>
      <c r="G36" s="306"/>
      <c r="H36" s="306"/>
      <c r="I36" s="306"/>
      <c r="J36" s="306"/>
      <c r="K36" s="306"/>
      <c r="L36" s="306"/>
      <c r="M36" s="306"/>
      <c r="N36" s="306"/>
      <c r="O36" s="306"/>
      <c r="P36" s="306"/>
      <c r="Q36" s="306"/>
      <c r="R36" s="305"/>
      <c r="S36" s="307">
        <f t="shared" si="1"/>
        <v>0</v>
      </c>
      <c r="T36" s="290"/>
    </row>
    <row r="37" spans="1:20" ht="15.6" x14ac:dyDescent="0.3">
      <c r="A37" s="181" t="s">
        <v>89</v>
      </c>
      <c r="B37" s="183">
        <f>SUM(B27:B35)</f>
        <v>718882</v>
      </c>
      <c r="F37" s="7"/>
      <c r="G37" s="330">
        <f t="shared" ref="G37:Q37" si="7">SUM(G27:G35)</f>
        <v>19325</v>
      </c>
      <c r="H37" s="330">
        <f t="shared" si="7"/>
        <v>19325</v>
      </c>
      <c r="I37" s="330">
        <f t="shared" si="7"/>
        <v>19325</v>
      </c>
      <c r="J37" s="330">
        <f t="shared" si="7"/>
        <v>19325</v>
      </c>
      <c r="K37" s="330">
        <f t="shared" si="7"/>
        <v>19325</v>
      </c>
      <c r="L37" s="330">
        <f t="shared" si="7"/>
        <v>19325</v>
      </c>
      <c r="M37" s="330">
        <f t="shared" si="7"/>
        <v>19325</v>
      </c>
      <c r="N37" s="330">
        <f t="shared" si="7"/>
        <v>19325</v>
      </c>
      <c r="O37" s="330">
        <f t="shared" si="7"/>
        <v>141333.00000000003</v>
      </c>
      <c r="P37" s="330">
        <f t="shared" si="7"/>
        <v>261741</v>
      </c>
      <c r="Q37" s="330">
        <f t="shared" si="7"/>
        <v>141883.00000000003</v>
      </c>
      <c r="R37" s="329">
        <f t="shared" ref="R37" si="8">SUM(R27:R35)</f>
        <v>19325</v>
      </c>
      <c r="S37" s="331">
        <f t="shared" si="1"/>
        <v>699557</v>
      </c>
      <c r="T37" s="290"/>
    </row>
    <row r="38" spans="1:20" ht="15.6" x14ac:dyDescent="0.3">
      <c r="A38" s="164"/>
      <c r="B38" s="166"/>
      <c r="F38" s="7"/>
      <c r="G38" s="306"/>
      <c r="H38" s="306"/>
      <c r="I38" s="306"/>
      <c r="J38" s="306"/>
      <c r="K38" s="306"/>
      <c r="L38" s="306"/>
      <c r="M38" s="306"/>
      <c r="N38" s="306"/>
      <c r="O38" s="306"/>
      <c r="P38" s="306"/>
      <c r="Q38" s="306"/>
      <c r="R38" s="305"/>
      <c r="S38" s="307">
        <f t="shared" si="1"/>
        <v>0</v>
      </c>
      <c r="T38" s="290"/>
    </row>
    <row r="39" spans="1:20" ht="15.6" x14ac:dyDescent="0.3">
      <c r="A39" s="154" t="s">
        <v>90</v>
      </c>
      <c r="B39" s="166"/>
      <c r="F39" s="7"/>
      <c r="G39" s="306"/>
      <c r="H39" s="306"/>
      <c r="I39" s="306"/>
      <c r="J39" s="306"/>
      <c r="K39" s="306"/>
      <c r="L39" s="306"/>
      <c r="M39" s="306"/>
      <c r="N39" s="306"/>
      <c r="O39" s="306"/>
      <c r="P39" s="306"/>
      <c r="Q39" s="306"/>
      <c r="R39" s="305"/>
      <c r="S39" s="307">
        <f t="shared" ref="S39:S70" si="9">SUM(G39:Q39)</f>
        <v>0</v>
      </c>
      <c r="T39" s="290"/>
    </row>
    <row r="40" spans="1:20" ht="15.6" x14ac:dyDescent="0.3">
      <c r="A40" s="167" t="s">
        <v>91</v>
      </c>
      <c r="B40" s="166">
        <v>1750</v>
      </c>
      <c r="F40" s="7"/>
      <c r="G40" s="306"/>
      <c r="H40" s="306"/>
      <c r="I40" s="306"/>
      <c r="J40" s="306"/>
      <c r="K40" s="306"/>
      <c r="L40" s="306"/>
      <c r="M40" s="306"/>
      <c r="N40" s="306"/>
      <c r="O40" s="306">
        <f t="shared" ref="O40:O49" si="10">B40/4</f>
        <v>437.5</v>
      </c>
      <c r="P40" s="306">
        <f t="shared" ref="P40:P49" si="11">B40/2</f>
        <v>875</v>
      </c>
      <c r="Q40" s="306">
        <f t="shared" ref="Q40:Q49" si="12">B40/4</f>
        <v>437.5</v>
      </c>
      <c r="R40" s="305"/>
      <c r="S40" s="307">
        <f t="shared" si="9"/>
        <v>1750</v>
      </c>
      <c r="T40" s="290"/>
    </row>
    <row r="41" spans="1:20" ht="15.6" x14ac:dyDescent="0.3">
      <c r="A41" s="167" t="s">
        <v>92</v>
      </c>
      <c r="B41" s="166">
        <v>3500</v>
      </c>
      <c r="F41" s="7"/>
      <c r="G41" s="306"/>
      <c r="H41" s="306"/>
      <c r="I41" s="306"/>
      <c r="J41" s="306"/>
      <c r="K41" s="306"/>
      <c r="L41" s="306"/>
      <c r="M41" s="306"/>
      <c r="N41" s="306"/>
      <c r="O41" s="306">
        <f t="shared" si="10"/>
        <v>875</v>
      </c>
      <c r="P41" s="306">
        <f t="shared" si="11"/>
        <v>1750</v>
      </c>
      <c r="Q41" s="306">
        <f t="shared" si="12"/>
        <v>875</v>
      </c>
      <c r="R41" s="305"/>
      <c r="S41" s="307">
        <f t="shared" si="9"/>
        <v>3500</v>
      </c>
      <c r="T41" s="290"/>
    </row>
    <row r="42" spans="1:20" ht="15.6" x14ac:dyDescent="0.3">
      <c r="A42" s="167" t="s">
        <v>93</v>
      </c>
      <c r="B42" s="166">
        <v>2550</v>
      </c>
      <c r="F42" s="7"/>
      <c r="G42" s="306"/>
      <c r="H42" s="306"/>
      <c r="I42" s="306"/>
      <c r="J42" s="306"/>
      <c r="K42" s="306"/>
      <c r="L42" s="306"/>
      <c r="M42" s="306"/>
      <c r="N42" s="306"/>
      <c r="O42" s="306">
        <f t="shared" si="10"/>
        <v>637.5</v>
      </c>
      <c r="P42" s="306">
        <f t="shared" si="11"/>
        <v>1275</v>
      </c>
      <c r="Q42" s="306">
        <f t="shared" si="12"/>
        <v>637.5</v>
      </c>
      <c r="R42" s="305"/>
      <c r="S42" s="307">
        <f t="shared" si="9"/>
        <v>2550</v>
      </c>
      <c r="T42" s="290"/>
    </row>
    <row r="43" spans="1:20" ht="15.6" x14ac:dyDescent="0.3">
      <c r="A43" s="169" t="s">
        <v>94</v>
      </c>
      <c r="B43" s="166">
        <v>2250</v>
      </c>
      <c r="F43" s="7"/>
      <c r="G43" s="306"/>
      <c r="H43" s="306"/>
      <c r="I43" s="306"/>
      <c r="J43" s="306"/>
      <c r="K43" s="306"/>
      <c r="L43" s="306"/>
      <c r="M43" s="306"/>
      <c r="N43" s="306"/>
      <c r="O43" s="306">
        <f t="shared" si="10"/>
        <v>562.5</v>
      </c>
      <c r="P43" s="306">
        <f t="shared" si="11"/>
        <v>1125</v>
      </c>
      <c r="Q43" s="306">
        <f t="shared" si="12"/>
        <v>562.5</v>
      </c>
      <c r="R43" s="305"/>
      <c r="S43" s="307">
        <f t="shared" si="9"/>
        <v>2250</v>
      </c>
      <c r="T43" s="290"/>
    </row>
    <row r="44" spans="1:20" ht="15.6" x14ac:dyDescent="0.3">
      <c r="A44" s="167" t="s">
        <v>95</v>
      </c>
      <c r="B44" s="166">
        <v>750</v>
      </c>
      <c r="F44" s="7"/>
      <c r="G44" s="306"/>
      <c r="H44" s="306"/>
      <c r="I44" s="306"/>
      <c r="J44" s="306"/>
      <c r="K44" s="306"/>
      <c r="L44" s="306"/>
      <c r="M44" s="306"/>
      <c r="N44" s="306"/>
      <c r="O44" s="306">
        <f t="shared" si="10"/>
        <v>187.5</v>
      </c>
      <c r="P44" s="306">
        <f t="shared" si="11"/>
        <v>375</v>
      </c>
      <c r="Q44" s="306">
        <f t="shared" si="12"/>
        <v>187.5</v>
      </c>
      <c r="R44" s="305"/>
      <c r="S44" s="307">
        <f t="shared" si="9"/>
        <v>750</v>
      </c>
      <c r="T44" s="290"/>
    </row>
    <row r="45" spans="1:20" ht="15.6" x14ac:dyDescent="0.3">
      <c r="A45" s="167" t="s">
        <v>96</v>
      </c>
      <c r="B45" s="166">
        <v>500</v>
      </c>
      <c r="F45" s="7"/>
      <c r="G45" s="306"/>
      <c r="H45" s="306"/>
      <c r="I45" s="306"/>
      <c r="J45" s="306"/>
      <c r="K45" s="306"/>
      <c r="L45" s="306"/>
      <c r="M45" s="306"/>
      <c r="N45" s="306"/>
      <c r="O45" s="306">
        <f t="shared" si="10"/>
        <v>125</v>
      </c>
      <c r="P45" s="306">
        <f t="shared" si="11"/>
        <v>250</v>
      </c>
      <c r="Q45" s="306">
        <f t="shared" si="12"/>
        <v>125</v>
      </c>
      <c r="R45" s="305"/>
      <c r="S45" s="307">
        <f t="shared" si="9"/>
        <v>500</v>
      </c>
      <c r="T45" s="290"/>
    </row>
    <row r="46" spans="1:20" ht="15.6" x14ac:dyDescent="0.3">
      <c r="A46" s="167" t="s">
        <v>97</v>
      </c>
      <c r="B46" s="166">
        <v>750</v>
      </c>
      <c r="F46" s="7"/>
      <c r="G46" s="306"/>
      <c r="H46" s="306"/>
      <c r="I46" s="306"/>
      <c r="J46" s="306"/>
      <c r="K46" s="306"/>
      <c r="L46" s="306"/>
      <c r="M46" s="306"/>
      <c r="N46" s="306"/>
      <c r="O46" s="306">
        <f t="shared" si="10"/>
        <v>187.5</v>
      </c>
      <c r="P46" s="306">
        <f t="shared" si="11"/>
        <v>375</v>
      </c>
      <c r="Q46" s="306">
        <f t="shared" si="12"/>
        <v>187.5</v>
      </c>
      <c r="R46" s="305"/>
      <c r="S46" s="307">
        <f t="shared" si="9"/>
        <v>750</v>
      </c>
      <c r="T46" s="290"/>
    </row>
    <row r="47" spans="1:20" ht="15.6" x14ac:dyDescent="0.3">
      <c r="A47" s="167" t="s">
        <v>98</v>
      </c>
      <c r="B47" s="166">
        <v>6500</v>
      </c>
      <c r="F47" s="7"/>
      <c r="G47" s="306"/>
      <c r="H47" s="306"/>
      <c r="I47" s="306"/>
      <c r="J47" s="306"/>
      <c r="K47" s="306"/>
      <c r="L47" s="306"/>
      <c r="M47" s="306"/>
      <c r="N47" s="306"/>
      <c r="O47" s="306">
        <f t="shared" si="10"/>
        <v>1625</v>
      </c>
      <c r="P47" s="306">
        <f t="shared" si="11"/>
        <v>3250</v>
      </c>
      <c r="Q47" s="306">
        <f t="shared" si="12"/>
        <v>1625</v>
      </c>
      <c r="R47" s="305"/>
      <c r="S47" s="307">
        <f t="shared" si="9"/>
        <v>6500</v>
      </c>
      <c r="T47" s="290"/>
    </row>
    <row r="48" spans="1:20" ht="15.6" x14ac:dyDescent="0.3">
      <c r="A48" s="167" t="s">
        <v>99</v>
      </c>
      <c r="B48" s="166">
        <v>250</v>
      </c>
      <c r="F48" s="7"/>
      <c r="G48" s="306"/>
      <c r="H48" s="306"/>
      <c r="I48" s="306"/>
      <c r="J48" s="306"/>
      <c r="K48" s="306"/>
      <c r="L48" s="306"/>
      <c r="M48" s="306"/>
      <c r="N48" s="306"/>
      <c r="O48" s="306">
        <f t="shared" si="10"/>
        <v>62.5</v>
      </c>
      <c r="P48" s="306">
        <f t="shared" si="11"/>
        <v>125</v>
      </c>
      <c r="Q48" s="306">
        <f t="shared" si="12"/>
        <v>62.5</v>
      </c>
      <c r="R48" s="305"/>
      <c r="S48" s="307">
        <f t="shared" si="9"/>
        <v>250</v>
      </c>
      <c r="T48" s="290"/>
    </row>
    <row r="49" spans="1:20" ht="15.6" x14ac:dyDescent="0.3">
      <c r="A49" s="167" t="s">
        <v>100</v>
      </c>
      <c r="B49" s="166">
        <v>500</v>
      </c>
      <c r="F49" s="7"/>
      <c r="G49" s="306"/>
      <c r="H49" s="306"/>
      <c r="I49" s="306"/>
      <c r="J49" s="306"/>
      <c r="K49" s="306"/>
      <c r="L49" s="306"/>
      <c r="M49" s="306"/>
      <c r="N49" s="306"/>
      <c r="O49" s="306">
        <f t="shared" si="10"/>
        <v>125</v>
      </c>
      <c r="P49" s="306">
        <f t="shared" si="11"/>
        <v>250</v>
      </c>
      <c r="Q49" s="306">
        <f t="shared" si="12"/>
        <v>125</v>
      </c>
      <c r="R49" s="305"/>
      <c r="S49" s="307">
        <f t="shared" si="9"/>
        <v>500</v>
      </c>
      <c r="T49" s="290"/>
    </row>
    <row r="50" spans="1:20" ht="15.6" x14ac:dyDescent="0.3">
      <c r="A50" s="171" t="s">
        <v>101</v>
      </c>
      <c r="B50" s="173"/>
      <c r="F50" s="7"/>
      <c r="G50" s="306"/>
      <c r="H50" s="306"/>
      <c r="I50" s="306"/>
      <c r="J50" s="306"/>
      <c r="K50" s="306"/>
      <c r="L50" s="306"/>
      <c r="M50" s="306"/>
      <c r="N50" s="306"/>
      <c r="O50" s="306"/>
      <c r="P50" s="306"/>
      <c r="Q50" s="306"/>
      <c r="R50" s="305"/>
      <c r="S50" s="307">
        <f t="shared" si="9"/>
        <v>0</v>
      </c>
      <c r="T50" s="290"/>
    </row>
    <row r="51" spans="1:20" ht="15.6" x14ac:dyDescent="0.3">
      <c r="A51" s="181" t="s">
        <v>102</v>
      </c>
      <c r="B51" s="183">
        <f>SUM(B40:B49)</f>
        <v>19300</v>
      </c>
      <c r="F51" s="7"/>
      <c r="G51" s="330">
        <f t="shared" ref="G51:Q51" si="13">SUM(G40:G49)</f>
        <v>0</v>
      </c>
      <c r="H51" s="330">
        <f t="shared" si="13"/>
        <v>0</v>
      </c>
      <c r="I51" s="330">
        <f t="shared" si="13"/>
        <v>0</v>
      </c>
      <c r="J51" s="330">
        <f t="shared" si="13"/>
        <v>0</v>
      </c>
      <c r="K51" s="330">
        <f t="shared" si="13"/>
        <v>0</v>
      </c>
      <c r="L51" s="330">
        <f t="shared" si="13"/>
        <v>0</v>
      </c>
      <c r="M51" s="330">
        <f t="shared" si="13"/>
        <v>0</v>
      </c>
      <c r="N51" s="330">
        <f t="shared" si="13"/>
        <v>0</v>
      </c>
      <c r="O51" s="330">
        <f t="shared" si="13"/>
        <v>4825</v>
      </c>
      <c r="P51" s="330">
        <f t="shared" si="13"/>
        <v>9650</v>
      </c>
      <c r="Q51" s="330">
        <f t="shared" si="13"/>
        <v>4825</v>
      </c>
      <c r="R51" s="329">
        <f t="shared" ref="R51" si="14">SUM(R40:R49)</f>
        <v>0</v>
      </c>
      <c r="S51" s="331">
        <f t="shared" si="9"/>
        <v>19300</v>
      </c>
      <c r="T51" s="290"/>
    </row>
    <row r="52" spans="1:20" ht="15.6" x14ac:dyDescent="0.3">
      <c r="A52" s="154"/>
      <c r="B52" s="174"/>
      <c r="F52" s="7"/>
      <c r="G52" s="306"/>
      <c r="H52" s="306"/>
      <c r="I52" s="306"/>
      <c r="J52" s="306"/>
      <c r="K52" s="306"/>
      <c r="L52" s="306"/>
      <c r="M52" s="306"/>
      <c r="N52" s="306"/>
      <c r="O52" s="306"/>
      <c r="P52" s="306"/>
      <c r="Q52" s="306"/>
      <c r="R52" s="305"/>
      <c r="S52" s="307">
        <f t="shared" si="9"/>
        <v>0</v>
      </c>
      <c r="T52" s="290"/>
    </row>
    <row r="53" spans="1:20" ht="15.6" x14ac:dyDescent="0.3">
      <c r="A53" s="175" t="s">
        <v>103</v>
      </c>
      <c r="B53" s="174"/>
      <c r="F53" s="7"/>
      <c r="G53" s="306"/>
      <c r="H53" s="306"/>
      <c r="I53" s="306"/>
      <c r="J53" s="306"/>
      <c r="K53" s="306"/>
      <c r="L53" s="306"/>
      <c r="M53" s="306"/>
      <c r="N53" s="306"/>
      <c r="O53" s="306">
        <f t="shared" ref="O53:O58" si="15">B53/4</f>
        <v>0</v>
      </c>
      <c r="P53" s="306">
        <f t="shared" ref="P53:P58" si="16">B53/2</f>
        <v>0</v>
      </c>
      <c r="Q53" s="306">
        <f t="shared" ref="Q53:Q58" si="17">B53/4</f>
        <v>0</v>
      </c>
      <c r="R53" s="305"/>
      <c r="S53" s="307">
        <f t="shared" si="9"/>
        <v>0</v>
      </c>
      <c r="T53" s="290"/>
    </row>
    <row r="54" spans="1:20" ht="15.6" x14ac:dyDescent="0.3">
      <c r="A54" s="167" t="s">
        <v>38</v>
      </c>
      <c r="B54" s="174">
        <v>32924.75</v>
      </c>
      <c r="F54" s="7"/>
      <c r="G54" s="306"/>
      <c r="H54" s="306"/>
      <c r="I54" s="306"/>
      <c r="J54" s="306"/>
      <c r="K54" s="306"/>
      <c r="L54" s="306"/>
      <c r="M54" s="306"/>
      <c r="N54" s="306"/>
      <c r="O54" s="306">
        <f t="shared" si="15"/>
        <v>8231.1875</v>
      </c>
      <c r="P54" s="306">
        <f t="shared" si="16"/>
        <v>16462.375</v>
      </c>
      <c r="Q54" s="306">
        <f t="shared" si="17"/>
        <v>8231.1875</v>
      </c>
      <c r="R54" s="305"/>
      <c r="S54" s="307">
        <f t="shared" si="9"/>
        <v>32924.75</v>
      </c>
      <c r="T54" s="290"/>
    </row>
    <row r="55" spans="1:20" ht="15.6" x14ac:dyDescent="0.3">
      <c r="A55" s="167" t="s">
        <v>104</v>
      </c>
      <c r="B55" s="174">
        <v>0</v>
      </c>
      <c r="F55" s="7"/>
      <c r="G55" s="306"/>
      <c r="H55" s="306"/>
      <c r="I55" s="306"/>
      <c r="J55" s="306"/>
      <c r="K55" s="306"/>
      <c r="L55" s="306"/>
      <c r="M55" s="306"/>
      <c r="N55" s="306"/>
      <c r="O55" s="306">
        <f t="shared" si="15"/>
        <v>0</v>
      </c>
      <c r="P55" s="306">
        <f t="shared" si="16"/>
        <v>0</v>
      </c>
      <c r="Q55" s="306">
        <f t="shared" si="17"/>
        <v>0</v>
      </c>
      <c r="R55" s="305"/>
      <c r="S55" s="307">
        <f t="shared" si="9"/>
        <v>0</v>
      </c>
      <c r="T55" s="290"/>
    </row>
    <row r="56" spans="1:20" ht="15.6" x14ac:dyDescent="0.3">
      <c r="A56" s="167" t="s">
        <v>105</v>
      </c>
      <c r="B56" s="174">
        <v>12500</v>
      </c>
      <c r="F56" s="7"/>
      <c r="G56" s="306"/>
      <c r="H56" s="306"/>
      <c r="I56" s="306"/>
      <c r="J56" s="306"/>
      <c r="K56" s="306"/>
      <c r="L56" s="306"/>
      <c r="M56" s="306"/>
      <c r="N56" s="306"/>
      <c r="O56" s="306">
        <f t="shared" si="15"/>
        <v>3125</v>
      </c>
      <c r="P56" s="306">
        <f t="shared" si="16"/>
        <v>6250</v>
      </c>
      <c r="Q56" s="306">
        <f t="shared" si="17"/>
        <v>3125</v>
      </c>
      <c r="R56" s="305"/>
      <c r="S56" s="307">
        <f t="shared" si="9"/>
        <v>12500</v>
      </c>
      <c r="T56" s="290"/>
    </row>
    <row r="57" spans="1:20" ht="15.6" x14ac:dyDescent="0.3">
      <c r="A57" s="167" t="s">
        <v>106</v>
      </c>
      <c r="B57" s="174">
        <v>0</v>
      </c>
      <c r="F57" s="7"/>
      <c r="G57" s="306"/>
      <c r="H57" s="306"/>
      <c r="I57" s="306"/>
      <c r="J57" s="306"/>
      <c r="K57" s="306"/>
      <c r="L57" s="306"/>
      <c r="M57" s="306"/>
      <c r="N57" s="306"/>
      <c r="O57" s="306">
        <f t="shared" si="15"/>
        <v>0</v>
      </c>
      <c r="P57" s="306">
        <f t="shared" si="16"/>
        <v>0</v>
      </c>
      <c r="Q57" s="306">
        <f t="shared" si="17"/>
        <v>0</v>
      </c>
      <c r="R57" s="305"/>
      <c r="S57" s="307">
        <f t="shared" si="9"/>
        <v>0</v>
      </c>
      <c r="T57" s="290"/>
    </row>
    <row r="58" spans="1:20" ht="15.6" x14ac:dyDescent="0.3">
      <c r="A58" s="167" t="s">
        <v>107</v>
      </c>
      <c r="B58" s="174">
        <v>2500</v>
      </c>
      <c r="F58" s="7"/>
      <c r="G58" s="306"/>
      <c r="H58" s="306"/>
      <c r="I58" s="306"/>
      <c r="J58" s="306"/>
      <c r="K58" s="306"/>
      <c r="L58" s="306"/>
      <c r="M58" s="306"/>
      <c r="N58" s="306"/>
      <c r="O58" s="306">
        <f t="shared" si="15"/>
        <v>625</v>
      </c>
      <c r="P58" s="306">
        <f t="shared" si="16"/>
        <v>1250</v>
      </c>
      <c r="Q58" s="306">
        <f t="shared" si="17"/>
        <v>625</v>
      </c>
      <c r="R58" s="305"/>
      <c r="S58" s="307">
        <f t="shared" si="9"/>
        <v>2500</v>
      </c>
      <c r="T58" s="290"/>
    </row>
    <row r="59" spans="1:20" ht="15.6" x14ac:dyDescent="0.3">
      <c r="A59" s="176" t="s">
        <v>108</v>
      </c>
      <c r="B59" s="174"/>
      <c r="F59" s="7"/>
      <c r="G59" s="306"/>
      <c r="H59" s="306"/>
      <c r="I59" s="306"/>
      <c r="J59" s="306"/>
      <c r="K59" s="306"/>
      <c r="L59" s="306"/>
      <c r="M59" s="306"/>
      <c r="N59" s="306"/>
      <c r="O59" s="306"/>
      <c r="P59" s="306"/>
      <c r="Q59" s="306"/>
      <c r="R59" s="305"/>
      <c r="S59" s="307">
        <f t="shared" si="9"/>
        <v>0</v>
      </c>
      <c r="T59" s="290"/>
    </row>
    <row r="60" spans="1:20" ht="15.6" x14ac:dyDescent="0.3">
      <c r="A60" s="181" t="s">
        <v>109</v>
      </c>
      <c r="B60" s="183">
        <f>SUM(B54:B58)</f>
        <v>47924.75</v>
      </c>
      <c r="F60" s="7"/>
      <c r="G60" s="330">
        <f t="shared" ref="G60:Q60" si="18">SUM(G54:G58)</f>
        <v>0</v>
      </c>
      <c r="H60" s="330">
        <f t="shared" si="18"/>
        <v>0</v>
      </c>
      <c r="I60" s="330">
        <f t="shared" si="18"/>
        <v>0</v>
      </c>
      <c r="J60" s="330">
        <f t="shared" si="18"/>
        <v>0</v>
      </c>
      <c r="K60" s="330">
        <f t="shared" si="18"/>
        <v>0</v>
      </c>
      <c r="L60" s="330">
        <f t="shared" si="18"/>
        <v>0</v>
      </c>
      <c r="M60" s="330">
        <f t="shared" si="18"/>
        <v>0</v>
      </c>
      <c r="N60" s="330">
        <f t="shared" si="18"/>
        <v>0</v>
      </c>
      <c r="O60" s="330">
        <f t="shared" si="18"/>
        <v>11981.1875</v>
      </c>
      <c r="P60" s="330">
        <f t="shared" si="18"/>
        <v>23962.375</v>
      </c>
      <c r="Q60" s="330">
        <f t="shared" si="18"/>
        <v>11981.1875</v>
      </c>
      <c r="R60" s="329">
        <f t="shared" ref="R60" si="19">SUM(R54:R58)</f>
        <v>0</v>
      </c>
      <c r="S60" s="331">
        <f t="shared" si="9"/>
        <v>47924.75</v>
      </c>
      <c r="T60" s="290"/>
    </row>
    <row r="61" spans="1:20" ht="15.6" x14ac:dyDescent="0.3">
      <c r="A61" s="154"/>
      <c r="B61" s="174"/>
      <c r="F61" s="7"/>
      <c r="G61" s="306"/>
      <c r="H61" s="306"/>
      <c r="I61" s="306"/>
      <c r="J61" s="306"/>
      <c r="K61" s="306"/>
      <c r="L61" s="306"/>
      <c r="M61" s="306"/>
      <c r="N61" s="306"/>
      <c r="O61" s="306"/>
      <c r="P61" s="306"/>
      <c r="Q61" s="306"/>
      <c r="R61" s="305"/>
      <c r="S61" s="307">
        <f t="shared" si="9"/>
        <v>0</v>
      </c>
      <c r="T61" s="290"/>
    </row>
    <row r="62" spans="1:20" ht="15.6" x14ac:dyDescent="0.3">
      <c r="A62" s="175" t="s">
        <v>25</v>
      </c>
      <c r="B62" s="174"/>
      <c r="F62" s="7"/>
      <c r="G62" s="306"/>
      <c r="H62" s="306"/>
      <c r="I62" s="306"/>
      <c r="J62" s="306"/>
      <c r="K62" s="306"/>
      <c r="L62" s="306"/>
      <c r="M62" s="306"/>
      <c r="N62" s="306"/>
      <c r="O62" s="306"/>
      <c r="P62" s="306"/>
      <c r="Q62" s="306"/>
      <c r="R62" s="305"/>
      <c r="S62" s="307">
        <f t="shared" si="9"/>
        <v>0</v>
      </c>
      <c r="T62" s="290"/>
    </row>
    <row r="63" spans="1:20" ht="15.6" x14ac:dyDescent="0.3">
      <c r="A63" s="167" t="s">
        <v>110</v>
      </c>
      <c r="B63" s="174">
        <v>4500</v>
      </c>
      <c r="F63" s="7"/>
      <c r="G63" s="306"/>
      <c r="H63" s="306"/>
      <c r="I63" s="306"/>
      <c r="J63" s="306"/>
      <c r="K63" s="306"/>
      <c r="L63" s="306"/>
      <c r="M63" s="306"/>
      <c r="N63" s="306"/>
      <c r="O63" s="306">
        <f>B63/4</f>
        <v>1125</v>
      </c>
      <c r="P63" s="306">
        <f>B63/2</f>
        <v>2250</v>
      </c>
      <c r="Q63" s="306">
        <f>B63/4</f>
        <v>1125</v>
      </c>
      <c r="R63" s="305"/>
      <c r="S63" s="307">
        <f t="shared" si="9"/>
        <v>4500</v>
      </c>
      <c r="T63" s="290"/>
    </row>
    <row r="64" spans="1:20" ht="15.6" x14ac:dyDescent="0.3">
      <c r="A64" s="167" t="s">
        <v>111</v>
      </c>
      <c r="B64" s="174">
        <v>7553.77</v>
      </c>
      <c r="F64" s="7"/>
      <c r="G64" s="306"/>
      <c r="H64" s="306"/>
      <c r="I64" s="306"/>
      <c r="J64" s="306"/>
      <c r="K64" s="306"/>
      <c r="L64" s="306"/>
      <c r="M64" s="306"/>
      <c r="N64" s="306"/>
      <c r="O64" s="306">
        <f>B64/4</f>
        <v>1888.4425000000001</v>
      </c>
      <c r="P64" s="306">
        <f>B64/2</f>
        <v>3776.8850000000002</v>
      </c>
      <c r="Q64" s="306">
        <f>B64/4</f>
        <v>1888.4425000000001</v>
      </c>
      <c r="R64" s="305"/>
      <c r="S64" s="307">
        <f t="shared" si="9"/>
        <v>7553.77</v>
      </c>
      <c r="T64" s="290"/>
    </row>
    <row r="65" spans="1:20" ht="15.6" x14ac:dyDescent="0.3">
      <c r="A65" s="177" t="s">
        <v>108</v>
      </c>
      <c r="B65" s="174"/>
      <c r="F65" s="7"/>
      <c r="G65" s="306"/>
      <c r="H65" s="306"/>
      <c r="I65" s="306"/>
      <c r="J65" s="306"/>
      <c r="K65" s="306"/>
      <c r="L65" s="306"/>
      <c r="M65" s="306"/>
      <c r="N65" s="306"/>
      <c r="O65" s="306"/>
      <c r="P65" s="306"/>
      <c r="Q65" s="306"/>
      <c r="R65" s="305"/>
      <c r="S65" s="307">
        <f t="shared" si="9"/>
        <v>0</v>
      </c>
      <c r="T65" s="290"/>
    </row>
    <row r="66" spans="1:20" ht="15.6" x14ac:dyDescent="0.3">
      <c r="A66" s="181" t="s">
        <v>112</v>
      </c>
      <c r="B66" s="183">
        <f>SUM(B63:B64)</f>
        <v>12053.77</v>
      </c>
      <c r="F66" s="7"/>
      <c r="G66" s="330">
        <f t="shared" ref="G66:Q66" si="20">SUM(G63:G64)</f>
        <v>0</v>
      </c>
      <c r="H66" s="330">
        <f t="shared" si="20"/>
        <v>0</v>
      </c>
      <c r="I66" s="330">
        <f t="shared" si="20"/>
        <v>0</v>
      </c>
      <c r="J66" s="330">
        <f t="shared" si="20"/>
        <v>0</v>
      </c>
      <c r="K66" s="330">
        <f t="shared" si="20"/>
        <v>0</v>
      </c>
      <c r="L66" s="330">
        <f t="shared" si="20"/>
        <v>0</v>
      </c>
      <c r="M66" s="330">
        <f t="shared" si="20"/>
        <v>0</v>
      </c>
      <c r="N66" s="330">
        <f t="shared" si="20"/>
        <v>0</v>
      </c>
      <c r="O66" s="330">
        <f t="shared" si="20"/>
        <v>3013.4425000000001</v>
      </c>
      <c r="P66" s="330">
        <f t="shared" si="20"/>
        <v>6026.8850000000002</v>
      </c>
      <c r="Q66" s="330">
        <f t="shared" si="20"/>
        <v>3013.4425000000001</v>
      </c>
      <c r="R66" s="329">
        <f t="shared" ref="R66" si="21">SUM(R63:R64)</f>
        <v>0</v>
      </c>
      <c r="S66" s="331">
        <f t="shared" si="9"/>
        <v>12053.77</v>
      </c>
      <c r="T66" s="290"/>
    </row>
    <row r="67" spans="1:20" ht="15.6" x14ac:dyDescent="0.3">
      <c r="A67" s="164"/>
      <c r="B67" s="174"/>
      <c r="F67" s="7"/>
      <c r="G67" s="306"/>
      <c r="H67" s="306"/>
      <c r="I67" s="306"/>
      <c r="J67" s="306"/>
      <c r="K67" s="306"/>
      <c r="L67" s="306"/>
      <c r="M67" s="306"/>
      <c r="N67" s="306"/>
      <c r="O67" s="306"/>
      <c r="P67" s="306"/>
      <c r="Q67" s="306"/>
      <c r="R67" s="305"/>
      <c r="S67" s="307">
        <f t="shared" si="9"/>
        <v>0</v>
      </c>
      <c r="T67" s="290"/>
    </row>
    <row r="68" spans="1:20" ht="15.6" x14ac:dyDescent="0.3">
      <c r="A68" s="167" t="s">
        <v>113</v>
      </c>
      <c r="B68" s="174">
        <v>4500</v>
      </c>
      <c r="F68" s="7"/>
      <c r="G68" s="306"/>
      <c r="H68" s="306"/>
      <c r="I68" s="306"/>
      <c r="J68" s="306"/>
      <c r="K68" s="306"/>
      <c r="L68" s="306">
        <f t="shared" ref="L68:L78" si="22">B68*0.15</f>
        <v>675</v>
      </c>
      <c r="M68" s="306">
        <f t="shared" ref="M68:M78" si="23">B68*0.15</f>
        <v>675</v>
      </c>
      <c r="N68" s="306">
        <f t="shared" ref="N68:N78" si="24">B68*0.1</f>
        <v>450</v>
      </c>
      <c r="O68" s="306">
        <f t="shared" ref="O68:O78" si="25">B68*0.1</f>
        <v>450</v>
      </c>
      <c r="P68" s="306">
        <f t="shared" ref="P68:P78" si="26">B68*0.4</f>
        <v>1800</v>
      </c>
      <c r="Q68" s="306">
        <f t="shared" ref="Q68:Q78" si="27">B68*0.1</f>
        <v>450</v>
      </c>
      <c r="R68" s="305"/>
      <c r="S68" s="307">
        <f t="shared" si="9"/>
        <v>4500</v>
      </c>
      <c r="T68" s="290"/>
    </row>
    <row r="69" spans="1:20" ht="15.6" x14ac:dyDescent="0.3">
      <c r="A69" s="167" t="s">
        <v>114</v>
      </c>
      <c r="B69" s="174">
        <v>4500</v>
      </c>
      <c r="F69" s="7"/>
      <c r="G69" s="306"/>
      <c r="H69" s="306"/>
      <c r="I69" s="306"/>
      <c r="J69" s="306"/>
      <c r="K69" s="306"/>
      <c r="L69" s="306">
        <f t="shared" si="22"/>
        <v>675</v>
      </c>
      <c r="M69" s="306">
        <f t="shared" si="23"/>
        <v>675</v>
      </c>
      <c r="N69" s="306">
        <f t="shared" si="24"/>
        <v>450</v>
      </c>
      <c r="O69" s="306">
        <f t="shared" si="25"/>
        <v>450</v>
      </c>
      <c r="P69" s="306">
        <f t="shared" si="26"/>
        <v>1800</v>
      </c>
      <c r="Q69" s="306">
        <f t="shared" si="27"/>
        <v>450</v>
      </c>
      <c r="R69" s="305"/>
      <c r="S69" s="307">
        <f t="shared" si="9"/>
        <v>4500</v>
      </c>
      <c r="T69" s="290"/>
    </row>
    <row r="70" spans="1:20" ht="15.6" x14ac:dyDescent="0.3">
      <c r="A70" s="167" t="s">
        <v>44</v>
      </c>
      <c r="B70" s="174">
        <v>2000</v>
      </c>
      <c r="F70" s="7"/>
      <c r="G70" s="306"/>
      <c r="H70" s="306"/>
      <c r="I70" s="306"/>
      <c r="J70" s="306"/>
      <c r="K70" s="306"/>
      <c r="L70" s="306">
        <f t="shared" si="22"/>
        <v>300</v>
      </c>
      <c r="M70" s="306">
        <f t="shared" si="23"/>
        <v>300</v>
      </c>
      <c r="N70" s="306">
        <f t="shared" si="24"/>
        <v>200</v>
      </c>
      <c r="O70" s="306">
        <f t="shared" si="25"/>
        <v>200</v>
      </c>
      <c r="P70" s="306">
        <f t="shared" si="26"/>
        <v>800</v>
      </c>
      <c r="Q70" s="306">
        <f t="shared" si="27"/>
        <v>200</v>
      </c>
      <c r="R70" s="305"/>
      <c r="S70" s="307">
        <f t="shared" si="9"/>
        <v>2000</v>
      </c>
      <c r="T70" s="290"/>
    </row>
    <row r="71" spans="1:20" ht="15.6" x14ac:dyDescent="0.3">
      <c r="A71" s="167" t="s">
        <v>115</v>
      </c>
      <c r="B71" s="174">
        <v>750</v>
      </c>
      <c r="F71" s="7"/>
      <c r="G71" s="306"/>
      <c r="H71" s="306"/>
      <c r="I71" s="306"/>
      <c r="J71" s="306"/>
      <c r="K71" s="306"/>
      <c r="L71" s="306">
        <f t="shared" si="22"/>
        <v>112.5</v>
      </c>
      <c r="M71" s="306">
        <f t="shared" si="23"/>
        <v>112.5</v>
      </c>
      <c r="N71" s="306">
        <f t="shared" si="24"/>
        <v>75</v>
      </c>
      <c r="O71" s="306">
        <f t="shared" si="25"/>
        <v>75</v>
      </c>
      <c r="P71" s="306">
        <f t="shared" si="26"/>
        <v>300</v>
      </c>
      <c r="Q71" s="306">
        <f t="shared" si="27"/>
        <v>75</v>
      </c>
      <c r="R71" s="305"/>
      <c r="S71" s="307">
        <f t="shared" ref="S71:S102" si="28">SUM(G71:Q71)</f>
        <v>750</v>
      </c>
      <c r="T71" s="290"/>
    </row>
    <row r="72" spans="1:20" ht="15.6" x14ac:dyDescent="0.3">
      <c r="A72" s="167" t="s">
        <v>116</v>
      </c>
      <c r="B72" s="174">
        <v>400</v>
      </c>
      <c r="F72" s="7"/>
      <c r="G72" s="306"/>
      <c r="H72" s="306"/>
      <c r="I72" s="306"/>
      <c r="J72" s="306"/>
      <c r="K72" s="306"/>
      <c r="L72" s="306">
        <f t="shared" si="22"/>
        <v>60</v>
      </c>
      <c r="M72" s="306">
        <f t="shared" si="23"/>
        <v>60</v>
      </c>
      <c r="N72" s="306">
        <f t="shared" si="24"/>
        <v>40</v>
      </c>
      <c r="O72" s="306">
        <f t="shared" si="25"/>
        <v>40</v>
      </c>
      <c r="P72" s="306">
        <f t="shared" si="26"/>
        <v>160</v>
      </c>
      <c r="Q72" s="306">
        <f t="shared" si="27"/>
        <v>40</v>
      </c>
      <c r="R72" s="305"/>
      <c r="S72" s="307">
        <f t="shared" si="28"/>
        <v>400</v>
      </c>
      <c r="T72" s="290"/>
    </row>
    <row r="73" spans="1:20" ht="15.6" x14ac:dyDescent="0.3">
      <c r="A73" s="167" t="s">
        <v>117</v>
      </c>
      <c r="B73" s="174">
        <v>750</v>
      </c>
      <c r="F73" s="7"/>
      <c r="G73" s="306"/>
      <c r="H73" s="306"/>
      <c r="I73" s="306"/>
      <c r="J73" s="306"/>
      <c r="K73" s="306"/>
      <c r="L73" s="306">
        <f t="shared" si="22"/>
        <v>112.5</v>
      </c>
      <c r="M73" s="306">
        <f t="shared" si="23"/>
        <v>112.5</v>
      </c>
      <c r="N73" s="306">
        <f t="shared" si="24"/>
        <v>75</v>
      </c>
      <c r="O73" s="306">
        <f t="shared" si="25"/>
        <v>75</v>
      </c>
      <c r="P73" s="306">
        <f t="shared" si="26"/>
        <v>300</v>
      </c>
      <c r="Q73" s="306">
        <f t="shared" si="27"/>
        <v>75</v>
      </c>
      <c r="R73" s="305"/>
      <c r="S73" s="307">
        <f t="shared" si="28"/>
        <v>750</v>
      </c>
      <c r="T73" s="290"/>
    </row>
    <row r="74" spans="1:20" ht="15.6" x14ac:dyDescent="0.3">
      <c r="A74" s="167" t="s">
        <v>118</v>
      </c>
      <c r="B74" s="174">
        <v>1400</v>
      </c>
      <c r="F74" s="7"/>
      <c r="G74" s="306"/>
      <c r="H74" s="306"/>
      <c r="I74" s="306"/>
      <c r="J74" s="306"/>
      <c r="K74" s="306"/>
      <c r="L74" s="306">
        <f t="shared" si="22"/>
        <v>210</v>
      </c>
      <c r="M74" s="306">
        <f t="shared" si="23"/>
        <v>210</v>
      </c>
      <c r="N74" s="306">
        <f t="shared" si="24"/>
        <v>140</v>
      </c>
      <c r="O74" s="306">
        <f t="shared" si="25"/>
        <v>140</v>
      </c>
      <c r="P74" s="306">
        <f t="shared" si="26"/>
        <v>560</v>
      </c>
      <c r="Q74" s="306">
        <f t="shared" si="27"/>
        <v>140</v>
      </c>
      <c r="R74" s="305"/>
      <c r="S74" s="307">
        <f t="shared" si="28"/>
        <v>1400</v>
      </c>
      <c r="T74" s="290"/>
    </row>
    <row r="75" spans="1:20" ht="15.6" x14ac:dyDescent="0.3">
      <c r="A75" s="167" t="s">
        <v>119</v>
      </c>
      <c r="B75" s="174">
        <v>0</v>
      </c>
      <c r="F75" s="7"/>
      <c r="G75" s="306"/>
      <c r="H75" s="306"/>
      <c r="I75" s="306"/>
      <c r="J75" s="306"/>
      <c r="K75" s="306"/>
      <c r="L75" s="306">
        <f t="shared" si="22"/>
        <v>0</v>
      </c>
      <c r="M75" s="306">
        <f t="shared" si="23"/>
        <v>0</v>
      </c>
      <c r="N75" s="306">
        <f t="shared" si="24"/>
        <v>0</v>
      </c>
      <c r="O75" s="306">
        <f t="shared" si="25"/>
        <v>0</v>
      </c>
      <c r="P75" s="306">
        <f t="shared" si="26"/>
        <v>0</v>
      </c>
      <c r="Q75" s="306">
        <f t="shared" si="27"/>
        <v>0</v>
      </c>
      <c r="R75" s="305"/>
      <c r="S75" s="307">
        <f t="shared" si="28"/>
        <v>0</v>
      </c>
      <c r="T75" s="290"/>
    </row>
    <row r="76" spans="1:20" ht="15.6" x14ac:dyDescent="0.3">
      <c r="A76" s="167" t="s">
        <v>120</v>
      </c>
      <c r="B76" s="174">
        <v>0</v>
      </c>
      <c r="F76" s="7"/>
      <c r="G76" s="306"/>
      <c r="H76" s="306"/>
      <c r="I76" s="306"/>
      <c r="J76" s="306"/>
      <c r="K76" s="306"/>
      <c r="L76" s="306">
        <f t="shared" si="22"/>
        <v>0</v>
      </c>
      <c r="M76" s="306">
        <f t="shared" si="23"/>
        <v>0</v>
      </c>
      <c r="N76" s="306">
        <f t="shared" si="24"/>
        <v>0</v>
      </c>
      <c r="O76" s="306">
        <f t="shared" si="25"/>
        <v>0</v>
      </c>
      <c r="P76" s="306">
        <f t="shared" si="26"/>
        <v>0</v>
      </c>
      <c r="Q76" s="306">
        <f t="shared" si="27"/>
        <v>0</v>
      </c>
      <c r="R76" s="305"/>
      <c r="S76" s="307">
        <f t="shared" si="28"/>
        <v>0</v>
      </c>
      <c r="T76" s="290"/>
    </row>
    <row r="77" spans="1:20" ht="15.6" x14ac:dyDescent="0.3">
      <c r="A77" s="167" t="s">
        <v>121</v>
      </c>
      <c r="B77" s="174">
        <v>0</v>
      </c>
      <c r="F77" s="7"/>
      <c r="G77" s="306"/>
      <c r="H77" s="306"/>
      <c r="I77" s="306"/>
      <c r="J77" s="306"/>
      <c r="K77" s="306"/>
      <c r="L77" s="306">
        <f t="shared" si="22"/>
        <v>0</v>
      </c>
      <c r="M77" s="306">
        <f t="shared" si="23"/>
        <v>0</v>
      </c>
      <c r="N77" s="306">
        <f t="shared" si="24"/>
        <v>0</v>
      </c>
      <c r="O77" s="306">
        <f t="shared" si="25"/>
        <v>0</v>
      </c>
      <c r="P77" s="306">
        <f t="shared" si="26"/>
        <v>0</v>
      </c>
      <c r="Q77" s="306">
        <f t="shared" si="27"/>
        <v>0</v>
      </c>
      <c r="R77" s="305"/>
      <c r="S77" s="307">
        <f t="shared" si="28"/>
        <v>0</v>
      </c>
      <c r="T77" s="290"/>
    </row>
    <row r="78" spans="1:20" ht="15.6" x14ac:dyDescent="0.3">
      <c r="A78" s="167" t="s">
        <v>26</v>
      </c>
      <c r="B78" s="174">
        <v>0</v>
      </c>
      <c r="F78" s="7"/>
      <c r="G78" s="306"/>
      <c r="H78" s="306"/>
      <c r="I78" s="306"/>
      <c r="J78" s="306"/>
      <c r="K78" s="306"/>
      <c r="L78" s="306">
        <f t="shared" si="22"/>
        <v>0</v>
      </c>
      <c r="M78" s="306">
        <f t="shared" si="23"/>
        <v>0</v>
      </c>
      <c r="N78" s="306">
        <f t="shared" si="24"/>
        <v>0</v>
      </c>
      <c r="O78" s="306">
        <f t="shared" si="25"/>
        <v>0</v>
      </c>
      <c r="P78" s="306">
        <f t="shared" si="26"/>
        <v>0</v>
      </c>
      <c r="Q78" s="306">
        <f t="shared" si="27"/>
        <v>0</v>
      </c>
      <c r="R78" s="305"/>
      <c r="S78" s="307">
        <f t="shared" si="28"/>
        <v>0</v>
      </c>
      <c r="T78" s="290"/>
    </row>
    <row r="79" spans="1:20" ht="15.6" x14ac:dyDescent="0.3">
      <c r="A79" s="177" t="s">
        <v>108</v>
      </c>
      <c r="B79" s="174"/>
      <c r="F79" s="7"/>
      <c r="G79" s="306"/>
      <c r="H79" s="306"/>
      <c r="I79" s="306"/>
      <c r="J79" s="306"/>
      <c r="K79" s="306"/>
      <c r="L79" s="306"/>
      <c r="M79" s="306"/>
      <c r="N79" s="306"/>
      <c r="O79" s="306"/>
      <c r="P79" s="306"/>
      <c r="Q79" s="306"/>
      <c r="R79" s="305"/>
      <c r="S79" s="307">
        <f t="shared" si="28"/>
        <v>0</v>
      </c>
      <c r="T79" s="290"/>
    </row>
    <row r="80" spans="1:20" ht="15.6" x14ac:dyDescent="0.3">
      <c r="A80" s="181" t="s">
        <v>122</v>
      </c>
      <c r="B80" s="183">
        <f>SUM(B68:B78)</f>
        <v>14300</v>
      </c>
      <c r="F80" s="7"/>
      <c r="G80" s="330">
        <f t="shared" ref="G80:Q80" si="29">SUM(G68:G78)</f>
        <v>0</v>
      </c>
      <c r="H80" s="330">
        <f t="shared" si="29"/>
        <v>0</v>
      </c>
      <c r="I80" s="330">
        <f t="shared" si="29"/>
        <v>0</v>
      </c>
      <c r="J80" s="330">
        <f t="shared" si="29"/>
        <v>0</v>
      </c>
      <c r="K80" s="330">
        <f t="shared" si="29"/>
        <v>0</v>
      </c>
      <c r="L80" s="330">
        <f t="shared" si="29"/>
        <v>2145</v>
      </c>
      <c r="M80" s="330">
        <f t="shared" si="29"/>
        <v>2145</v>
      </c>
      <c r="N80" s="330">
        <f t="shared" si="29"/>
        <v>1430</v>
      </c>
      <c r="O80" s="330">
        <f t="shared" si="29"/>
        <v>1430</v>
      </c>
      <c r="P80" s="330">
        <f t="shared" si="29"/>
        <v>5720</v>
      </c>
      <c r="Q80" s="330">
        <f t="shared" si="29"/>
        <v>1430</v>
      </c>
      <c r="R80" s="329">
        <f t="shared" ref="R80" si="30">SUM(R68:R78)</f>
        <v>0</v>
      </c>
      <c r="S80" s="331">
        <f t="shared" si="28"/>
        <v>14300</v>
      </c>
      <c r="T80" s="290"/>
    </row>
    <row r="81" spans="1:20" ht="15.6" x14ac:dyDescent="0.3">
      <c r="A81" s="164"/>
      <c r="B81" s="174"/>
      <c r="F81" s="7"/>
      <c r="G81" s="306"/>
      <c r="H81" s="306"/>
      <c r="I81" s="306"/>
      <c r="J81" s="306"/>
      <c r="K81" s="306"/>
      <c r="L81" s="306"/>
      <c r="M81" s="306"/>
      <c r="N81" s="306"/>
      <c r="O81" s="306"/>
      <c r="P81" s="306"/>
      <c r="Q81" s="306"/>
      <c r="R81" s="305"/>
      <c r="S81" s="307">
        <f t="shared" si="28"/>
        <v>0</v>
      </c>
      <c r="T81" s="290"/>
    </row>
    <row r="82" spans="1:20" ht="15.6" x14ac:dyDescent="0.3">
      <c r="A82" s="167" t="s">
        <v>181</v>
      </c>
      <c r="B82" s="174">
        <v>25569.48</v>
      </c>
      <c r="F82" s="7"/>
      <c r="G82" s="343">
        <f t="shared" ref="G82:N87" si="31">$B82*0.033333</f>
        <v>852.30747684000005</v>
      </c>
      <c r="H82" s="343">
        <f t="shared" si="31"/>
        <v>852.30747684000005</v>
      </c>
      <c r="I82" s="343">
        <f t="shared" si="31"/>
        <v>852.30747684000005</v>
      </c>
      <c r="J82" s="343">
        <f t="shared" si="31"/>
        <v>852.30747684000005</v>
      </c>
      <c r="K82" s="343">
        <f t="shared" si="31"/>
        <v>852.30747684000005</v>
      </c>
      <c r="L82" s="343">
        <f t="shared" si="31"/>
        <v>852.30747684000005</v>
      </c>
      <c r="M82" s="343">
        <f t="shared" si="31"/>
        <v>852.30747684000005</v>
      </c>
      <c r="N82" s="343">
        <f t="shared" si="31"/>
        <v>852.30747684000005</v>
      </c>
      <c r="O82" s="343">
        <f>B82*0.15</f>
        <v>3835.4219999999996</v>
      </c>
      <c r="P82" s="344">
        <f>B82*0.35</f>
        <v>8949.3179999999993</v>
      </c>
      <c r="Q82" s="306">
        <f>B82*0.2</f>
        <v>5113.8960000000006</v>
      </c>
      <c r="R82" s="342">
        <f>$B82*0.033333</f>
        <v>852.30747684000005</v>
      </c>
      <c r="S82" s="307">
        <f t="shared" si="28"/>
        <v>24717.09581472</v>
      </c>
      <c r="T82" s="290"/>
    </row>
    <row r="83" spans="1:20" ht="15.6" x14ac:dyDescent="0.3">
      <c r="A83" s="167" t="s">
        <v>182</v>
      </c>
      <c r="B83" s="174">
        <v>14250</v>
      </c>
      <c r="F83" s="7"/>
      <c r="G83" s="343">
        <f t="shared" si="31"/>
        <v>474.99525</v>
      </c>
      <c r="H83" s="343">
        <f t="shared" si="31"/>
        <v>474.99525</v>
      </c>
      <c r="I83" s="343">
        <f t="shared" si="31"/>
        <v>474.99525</v>
      </c>
      <c r="J83" s="343">
        <f t="shared" si="31"/>
        <v>474.99525</v>
      </c>
      <c r="K83" s="343">
        <f t="shared" si="31"/>
        <v>474.99525</v>
      </c>
      <c r="L83" s="343">
        <f t="shared" si="31"/>
        <v>474.99525</v>
      </c>
      <c r="M83" s="343">
        <f t="shared" si="31"/>
        <v>474.99525</v>
      </c>
      <c r="N83" s="343">
        <f t="shared" si="31"/>
        <v>474.99525</v>
      </c>
      <c r="O83" s="343">
        <f>B83*0.15</f>
        <v>2137.5</v>
      </c>
      <c r="P83" s="344">
        <f>B83*0.35</f>
        <v>4987.5</v>
      </c>
      <c r="Q83" s="306">
        <f>B83*0.2</f>
        <v>2850</v>
      </c>
      <c r="R83" s="342">
        <f>$B83*0.033333</f>
        <v>474.99525</v>
      </c>
      <c r="S83" s="307">
        <f t="shared" si="28"/>
        <v>13774.962</v>
      </c>
      <c r="T83" s="290"/>
    </row>
    <row r="84" spans="1:20" ht="15.6" x14ac:dyDescent="0.3">
      <c r="A84" s="167" t="s">
        <v>197</v>
      </c>
      <c r="B84" s="174">
        <v>745</v>
      </c>
      <c r="F84" s="7"/>
      <c r="G84" s="343">
        <f t="shared" si="31"/>
        <v>24.833085000000001</v>
      </c>
      <c r="H84" s="343">
        <f t="shared" si="31"/>
        <v>24.833085000000001</v>
      </c>
      <c r="I84" s="343">
        <f t="shared" si="31"/>
        <v>24.833085000000001</v>
      </c>
      <c r="J84" s="343">
        <f t="shared" si="31"/>
        <v>24.833085000000001</v>
      </c>
      <c r="K84" s="343">
        <f t="shared" si="31"/>
        <v>24.833085000000001</v>
      </c>
      <c r="L84" s="343">
        <f t="shared" si="31"/>
        <v>24.833085000000001</v>
      </c>
      <c r="M84" s="343">
        <f t="shared" si="31"/>
        <v>24.833085000000001</v>
      </c>
      <c r="N84" s="343">
        <f t="shared" si="31"/>
        <v>24.833085000000001</v>
      </c>
      <c r="O84" s="343">
        <f>B84*0.15</f>
        <v>111.75</v>
      </c>
      <c r="P84" s="344">
        <f>B84*0.35</f>
        <v>260.75</v>
      </c>
      <c r="Q84" s="306">
        <f>B84*0.2</f>
        <v>149</v>
      </c>
      <c r="R84" s="342">
        <f>$B84*0.033333</f>
        <v>24.833085000000001</v>
      </c>
      <c r="S84" s="307">
        <f t="shared" si="28"/>
        <v>720.16468000000009</v>
      </c>
      <c r="T84" s="290"/>
    </row>
    <row r="85" spans="1:20" ht="15.6" x14ac:dyDescent="0.3">
      <c r="A85" s="167" t="s">
        <v>198</v>
      </c>
      <c r="B85" s="174">
        <v>1940</v>
      </c>
      <c r="F85" s="7"/>
      <c r="G85" s="343">
        <v>161.66666666666666</v>
      </c>
      <c r="H85" s="343">
        <v>161.66666666666666</v>
      </c>
      <c r="I85" s="343">
        <v>161.66666666666666</v>
      </c>
      <c r="J85" s="343">
        <v>161.66666666666666</v>
      </c>
      <c r="K85" s="343">
        <v>161.66666666666666</v>
      </c>
      <c r="L85" s="343">
        <v>161.66666666666666</v>
      </c>
      <c r="M85" s="343">
        <v>161.66666666666666</v>
      </c>
      <c r="N85" s="343">
        <v>161.66666666666666</v>
      </c>
      <c r="O85" s="343">
        <v>161.66666666666666</v>
      </c>
      <c r="P85" s="344">
        <v>161.66666666666666</v>
      </c>
      <c r="Q85" s="306">
        <v>161.66666666666666</v>
      </c>
      <c r="R85" s="342">
        <f>M85/12</f>
        <v>13.472222222222221</v>
      </c>
      <c r="S85" s="307">
        <f t="shared" si="28"/>
        <v>1778.3333333333335</v>
      </c>
      <c r="T85" s="290"/>
    </row>
    <row r="86" spans="1:20" ht="15.6" x14ac:dyDescent="0.3">
      <c r="A86" s="167" t="s">
        <v>192</v>
      </c>
      <c r="B86" s="174">
        <v>960</v>
      </c>
      <c r="F86" s="7"/>
      <c r="G86" s="343">
        <v>80</v>
      </c>
      <c r="H86" s="343">
        <v>80</v>
      </c>
      <c r="I86" s="343">
        <v>80</v>
      </c>
      <c r="J86" s="343">
        <v>80</v>
      </c>
      <c r="K86" s="343">
        <v>80</v>
      </c>
      <c r="L86" s="343">
        <v>80</v>
      </c>
      <c r="M86" s="343">
        <v>80</v>
      </c>
      <c r="N86" s="343">
        <v>80</v>
      </c>
      <c r="O86" s="343">
        <v>80</v>
      </c>
      <c r="P86" s="344">
        <v>80</v>
      </c>
      <c r="Q86" s="306">
        <v>80</v>
      </c>
      <c r="R86" s="342">
        <f>M86/12</f>
        <v>6.666666666666667</v>
      </c>
      <c r="S86" s="307">
        <f t="shared" si="28"/>
        <v>880</v>
      </c>
      <c r="T86" s="290"/>
    </row>
    <row r="87" spans="1:20" ht="15.6" x14ac:dyDescent="0.3">
      <c r="A87" s="167" t="s">
        <v>183</v>
      </c>
      <c r="B87" s="174">
        <v>24850</v>
      </c>
      <c r="F87" s="7"/>
      <c r="G87" s="343">
        <f t="shared" si="31"/>
        <v>828.32505000000003</v>
      </c>
      <c r="H87" s="343">
        <f t="shared" si="31"/>
        <v>828.32505000000003</v>
      </c>
      <c r="I87" s="343">
        <f t="shared" si="31"/>
        <v>828.32505000000003</v>
      </c>
      <c r="J87" s="343">
        <f t="shared" si="31"/>
        <v>828.32505000000003</v>
      </c>
      <c r="K87" s="343">
        <f t="shared" si="31"/>
        <v>828.32505000000003</v>
      </c>
      <c r="L87" s="343">
        <f t="shared" si="31"/>
        <v>828.32505000000003</v>
      </c>
      <c r="M87" s="343">
        <f t="shared" si="31"/>
        <v>828.32505000000003</v>
      </c>
      <c r="N87" s="343">
        <f t="shared" si="31"/>
        <v>828.32505000000003</v>
      </c>
      <c r="O87" s="343">
        <f>B87*0.15</f>
        <v>3727.5</v>
      </c>
      <c r="P87" s="344">
        <f>B87*0.35</f>
        <v>8697.5</v>
      </c>
      <c r="Q87" s="306">
        <f>B87*0.2</f>
        <v>4970</v>
      </c>
      <c r="R87" s="342">
        <f>$B87*0.033333</f>
        <v>828.32505000000003</v>
      </c>
      <c r="S87" s="307">
        <f t="shared" si="28"/>
        <v>24021.600400000003</v>
      </c>
      <c r="T87" s="290"/>
    </row>
    <row r="88" spans="1:20" ht="15.6" x14ac:dyDescent="0.3">
      <c r="A88" s="177" t="s">
        <v>108</v>
      </c>
      <c r="B88" s="174"/>
      <c r="F88" s="7"/>
      <c r="G88" s="306"/>
      <c r="H88" s="306"/>
      <c r="I88" s="306"/>
      <c r="J88" s="306"/>
      <c r="K88" s="306"/>
      <c r="L88" s="306"/>
      <c r="M88" s="306"/>
      <c r="N88" s="306"/>
      <c r="O88" s="306"/>
      <c r="P88" s="306"/>
      <c r="Q88" s="306"/>
      <c r="R88" s="305"/>
      <c r="S88" s="307">
        <f t="shared" si="28"/>
        <v>0</v>
      </c>
      <c r="T88" s="290"/>
    </row>
    <row r="89" spans="1:20" ht="15.6" x14ac:dyDescent="0.3">
      <c r="A89" s="181" t="s">
        <v>123</v>
      </c>
      <c r="B89" s="183">
        <f>SUM(B82:B87)</f>
        <v>68314.48</v>
      </c>
      <c r="F89" s="7"/>
      <c r="G89" s="330">
        <f t="shared" ref="G89:Q89" si="32">SUM(G82:G87)</f>
        <v>2422.1275285066667</v>
      </c>
      <c r="H89" s="330">
        <f t="shared" si="32"/>
        <v>2422.1275285066667</v>
      </c>
      <c r="I89" s="330">
        <f t="shared" si="32"/>
        <v>2422.1275285066667</v>
      </c>
      <c r="J89" s="330">
        <f t="shared" si="32"/>
        <v>2422.1275285066667</v>
      </c>
      <c r="K89" s="330">
        <f t="shared" si="32"/>
        <v>2422.1275285066667</v>
      </c>
      <c r="L89" s="330">
        <f t="shared" si="32"/>
        <v>2422.1275285066667</v>
      </c>
      <c r="M89" s="330">
        <f t="shared" si="32"/>
        <v>2422.1275285066667</v>
      </c>
      <c r="N89" s="330">
        <f t="shared" si="32"/>
        <v>2422.1275285066667</v>
      </c>
      <c r="O89" s="330">
        <f t="shared" si="32"/>
        <v>10053.838666666667</v>
      </c>
      <c r="P89" s="330">
        <f t="shared" si="32"/>
        <v>23136.734666666664</v>
      </c>
      <c r="Q89" s="330">
        <f t="shared" si="32"/>
        <v>13324.562666666667</v>
      </c>
      <c r="R89" s="329">
        <f t="shared" ref="R89" si="33">SUM(R82:R87)</f>
        <v>2200.5997507288889</v>
      </c>
      <c r="S89" s="331">
        <f t="shared" si="28"/>
        <v>65892.156228053325</v>
      </c>
      <c r="T89" s="290"/>
    </row>
    <row r="90" spans="1:20" ht="15.6" x14ac:dyDescent="0.3">
      <c r="A90" s="154"/>
      <c r="B90" s="174"/>
      <c r="F90" s="7"/>
      <c r="G90" s="306"/>
      <c r="H90" s="306"/>
      <c r="I90" s="306"/>
      <c r="J90" s="306"/>
      <c r="K90" s="306"/>
      <c r="L90" s="306"/>
      <c r="M90" s="306"/>
      <c r="N90" s="306"/>
      <c r="O90" s="306"/>
      <c r="P90" s="306"/>
      <c r="Q90" s="306"/>
      <c r="R90" s="305"/>
      <c r="S90" s="307">
        <f t="shared" si="28"/>
        <v>0</v>
      </c>
      <c r="T90" s="290"/>
    </row>
    <row r="91" spans="1:20" ht="15.6" x14ac:dyDescent="0.3">
      <c r="A91" s="154" t="s">
        <v>125</v>
      </c>
      <c r="B91" s="174"/>
      <c r="F91" s="7"/>
      <c r="G91" s="306"/>
      <c r="H91" s="306"/>
      <c r="I91" s="306"/>
      <c r="J91" s="306"/>
      <c r="K91" s="306"/>
      <c r="L91" s="306"/>
      <c r="M91" s="306"/>
      <c r="N91" s="306"/>
      <c r="O91" s="306"/>
      <c r="P91" s="306"/>
      <c r="Q91" s="306"/>
      <c r="R91" s="305"/>
      <c r="S91" s="307">
        <f t="shared" si="28"/>
        <v>0</v>
      </c>
      <c r="T91" s="290"/>
    </row>
    <row r="92" spans="1:20" ht="15.6" x14ac:dyDescent="0.3">
      <c r="A92" s="167" t="s">
        <v>126</v>
      </c>
      <c r="B92" s="174">
        <v>4002.41</v>
      </c>
      <c r="F92" s="7"/>
      <c r="G92" s="306">
        <v>667.06833333333327</v>
      </c>
      <c r="H92" s="306">
        <v>667.06833333333327</v>
      </c>
      <c r="I92" s="306">
        <v>667.06833333333327</v>
      </c>
      <c r="J92" s="306">
        <v>667.06833333333327</v>
      </c>
      <c r="K92" s="306">
        <v>667.06833333333327</v>
      </c>
      <c r="L92" s="306"/>
      <c r="M92" s="306"/>
      <c r="N92" s="306"/>
      <c r="O92" s="306"/>
      <c r="P92" s="306"/>
      <c r="Q92" s="306"/>
      <c r="R92" s="305">
        <f>M92/6</f>
        <v>0</v>
      </c>
      <c r="S92" s="307">
        <f t="shared" si="28"/>
        <v>3335.3416666666662</v>
      </c>
      <c r="T92" s="290"/>
    </row>
    <row r="93" spans="1:20" ht="15.6" x14ac:dyDescent="0.3">
      <c r="A93" s="167" t="s">
        <v>127</v>
      </c>
      <c r="B93" s="174">
        <v>0</v>
      </c>
      <c r="F93" s="7"/>
      <c r="G93" s="306"/>
      <c r="H93" s="306"/>
      <c r="I93" s="306"/>
      <c r="J93" s="306"/>
      <c r="K93" s="306"/>
      <c r="L93" s="306"/>
      <c r="M93" s="306"/>
      <c r="N93" s="306"/>
      <c r="O93" s="306"/>
      <c r="P93" s="306"/>
      <c r="Q93" s="306"/>
      <c r="R93" s="305"/>
      <c r="S93" s="307">
        <f t="shared" si="28"/>
        <v>0</v>
      </c>
      <c r="T93" s="290"/>
    </row>
    <row r="94" spans="1:20" ht="15.6" x14ac:dyDescent="0.3">
      <c r="A94" s="167" t="s">
        <v>128</v>
      </c>
      <c r="B94" s="174">
        <v>750</v>
      </c>
      <c r="F94" s="7"/>
      <c r="G94" s="306">
        <v>125</v>
      </c>
      <c r="H94" s="306">
        <v>125</v>
      </c>
      <c r="I94" s="306">
        <v>125</v>
      </c>
      <c r="J94" s="306">
        <v>125</v>
      </c>
      <c r="K94" s="306">
        <v>125</v>
      </c>
      <c r="L94" s="306"/>
      <c r="M94" s="306"/>
      <c r="N94" s="306"/>
      <c r="O94" s="306"/>
      <c r="P94" s="306"/>
      <c r="Q94" s="306"/>
      <c r="R94" s="305">
        <f t="shared" ref="R94:R98" si="34">M94/6</f>
        <v>0</v>
      </c>
      <c r="S94" s="307">
        <f t="shared" si="28"/>
        <v>625</v>
      </c>
      <c r="T94" s="290"/>
    </row>
    <row r="95" spans="1:20" ht="15.6" x14ac:dyDescent="0.3">
      <c r="A95" s="167" t="s">
        <v>129</v>
      </c>
      <c r="B95" s="174">
        <v>250</v>
      </c>
      <c r="F95" s="7"/>
      <c r="G95" s="306">
        <v>41.666666666666664</v>
      </c>
      <c r="H95" s="306">
        <v>41.666666666666664</v>
      </c>
      <c r="I95" s="306">
        <v>41.666666666666664</v>
      </c>
      <c r="J95" s="306">
        <v>41.666666666666664</v>
      </c>
      <c r="K95" s="306">
        <v>41.666666666666664</v>
      </c>
      <c r="L95" s="306"/>
      <c r="M95" s="306"/>
      <c r="N95" s="306"/>
      <c r="O95" s="306"/>
      <c r="P95" s="306"/>
      <c r="Q95" s="306"/>
      <c r="R95" s="305">
        <f t="shared" si="34"/>
        <v>0</v>
      </c>
      <c r="S95" s="307">
        <f t="shared" si="28"/>
        <v>208.33333333333331</v>
      </c>
      <c r="T95" s="290"/>
    </row>
    <row r="96" spans="1:20" ht="15.6" x14ac:dyDescent="0.3">
      <c r="A96" s="167" t="s">
        <v>130</v>
      </c>
      <c r="B96" s="174">
        <v>200</v>
      </c>
      <c r="F96" s="7"/>
      <c r="G96" s="306">
        <v>33.333333333333336</v>
      </c>
      <c r="H96" s="306">
        <v>33.333333333333336</v>
      </c>
      <c r="I96" s="306">
        <v>33.333333333333336</v>
      </c>
      <c r="J96" s="306">
        <v>33.333333333333336</v>
      </c>
      <c r="K96" s="306">
        <v>33.333333333333336</v>
      </c>
      <c r="L96" s="306"/>
      <c r="M96" s="306"/>
      <c r="N96" s="306"/>
      <c r="O96" s="306"/>
      <c r="P96" s="306"/>
      <c r="Q96" s="306"/>
      <c r="R96" s="305">
        <f t="shared" si="34"/>
        <v>0</v>
      </c>
      <c r="S96" s="307">
        <f t="shared" si="28"/>
        <v>166.66666666666669</v>
      </c>
      <c r="T96" s="290"/>
    </row>
    <row r="97" spans="1:20" ht="15.6" x14ac:dyDescent="0.3">
      <c r="A97" s="167" t="s">
        <v>23</v>
      </c>
      <c r="B97" s="174">
        <v>450</v>
      </c>
      <c r="F97" s="7"/>
      <c r="G97" s="306">
        <v>75</v>
      </c>
      <c r="H97" s="306">
        <v>75</v>
      </c>
      <c r="I97" s="306">
        <v>75</v>
      </c>
      <c r="J97" s="306">
        <v>75</v>
      </c>
      <c r="K97" s="306">
        <v>75</v>
      </c>
      <c r="L97" s="306"/>
      <c r="M97" s="306"/>
      <c r="N97" s="306"/>
      <c r="O97" s="306"/>
      <c r="P97" s="306"/>
      <c r="Q97" s="306"/>
      <c r="R97" s="305">
        <f t="shared" si="34"/>
        <v>0</v>
      </c>
      <c r="S97" s="307">
        <f t="shared" si="28"/>
        <v>375</v>
      </c>
      <c r="T97" s="290"/>
    </row>
    <row r="98" spans="1:20" ht="15.6" x14ac:dyDescent="0.3">
      <c r="A98" s="167" t="s">
        <v>131</v>
      </c>
      <c r="B98" s="174">
        <v>100</v>
      </c>
      <c r="F98" s="7"/>
      <c r="G98" s="306">
        <v>16.666666666666668</v>
      </c>
      <c r="H98" s="306">
        <v>16.666666666666668</v>
      </c>
      <c r="I98" s="306">
        <v>16.666666666666668</v>
      </c>
      <c r="J98" s="306">
        <v>16.666666666666668</v>
      </c>
      <c r="K98" s="306">
        <v>16.666666666666668</v>
      </c>
      <c r="L98" s="306"/>
      <c r="M98" s="306"/>
      <c r="N98" s="306"/>
      <c r="O98" s="306"/>
      <c r="P98" s="306"/>
      <c r="Q98" s="306"/>
      <c r="R98" s="305">
        <f t="shared" si="34"/>
        <v>0</v>
      </c>
      <c r="S98" s="307">
        <f t="shared" si="28"/>
        <v>83.333333333333343</v>
      </c>
      <c r="T98" s="290"/>
    </row>
    <row r="99" spans="1:20" ht="15.6" x14ac:dyDescent="0.3">
      <c r="A99" s="167" t="s">
        <v>132</v>
      </c>
      <c r="B99" s="174">
        <v>475</v>
      </c>
      <c r="F99" s="7"/>
      <c r="G99" s="306"/>
      <c r="H99" s="306"/>
      <c r="I99" s="306"/>
      <c r="J99" s="306"/>
      <c r="K99" s="306"/>
      <c r="L99" s="306"/>
      <c r="M99" s="306"/>
      <c r="N99" s="306"/>
      <c r="O99" s="306"/>
      <c r="P99" s="306"/>
      <c r="Q99" s="306">
        <v>475</v>
      </c>
      <c r="R99" s="305"/>
      <c r="S99" s="307">
        <f t="shared" si="28"/>
        <v>475</v>
      </c>
      <c r="T99" s="290"/>
    </row>
    <row r="100" spans="1:20" ht="15.6" x14ac:dyDescent="0.3">
      <c r="A100" s="167" t="s">
        <v>133</v>
      </c>
      <c r="B100" s="174">
        <v>550</v>
      </c>
      <c r="F100" s="7"/>
      <c r="G100" s="306"/>
      <c r="H100" s="306"/>
      <c r="I100" s="306"/>
      <c r="J100" s="306"/>
      <c r="K100" s="306"/>
      <c r="L100" s="306"/>
      <c r="M100" s="306"/>
      <c r="N100" s="306"/>
      <c r="O100" s="306"/>
      <c r="P100" s="306"/>
      <c r="Q100" s="306">
        <v>550</v>
      </c>
      <c r="R100" s="305"/>
      <c r="S100" s="307">
        <f t="shared" si="28"/>
        <v>550</v>
      </c>
      <c r="T100" s="290"/>
    </row>
    <row r="101" spans="1:20" ht="15.6" x14ac:dyDescent="0.3">
      <c r="A101" s="167" t="s">
        <v>184</v>
      </c>
      <c r="B101" s="174">
        <v>450</v>
      </c>
      <c r="F101" s="7"/>
      <c r="G101" s="306"/>
      <c r="H101" s="306"/>
      <c r="I101" s="306">
        <v>450</v>
      </c>
      <c r="J101" s="306"/>
      <c r="K101" s="306"/>
      <c r="L101" s="306"/>
      <c r="M101" s="306"/>
      <c r="N101" s="306"/>
      <c r="O101" s="306"/>
      <c r="P101" s="306"/>
      <c r="Q101" s="306"/>
      <c r="R101" s="305"/>
      <c r="S101" s="307">
        <f t="shared" si="28"/>
        <v>450</v>
      </c>
      <c r="T101" s="290"/>
    </row>
    <row r="102" spans="1:20" ht="15.6" x14ac:dyDescent="0.3">
      <c r="A102" s="167" t="s">
        <v>134</v>
      </c>
      <c r="B102" s="174">
        <v>225</v>
      </c>
      <c r="F102" s="7"/>
      <c r="G102" s="306"/>
      <c r="H102" s="306"/>
      <c r="I102" s="306">
        <v>400</v>
      </c>
      <c r="J102" s="306"/>
      <c r="K102" s="306"/>
      <c r="L102" s="306"/>
      <c r="M102" s="306"/>
      <c r="N102" s="306"/>
      <c r="O102" s="306"/>
      <c r="P102" s="306"/>
      <c r="Q102" s="306"/>
      <c r="R102" s="305"/>
      <c r="S102" s="307">
        <f t="shared" si="28"/>
        <v>400</v>
      </c>
      <c r="T102" s="290"/>
    </row>
    <row r="103" spans="1:20" ht="15.6" x14ac:dyDescent="0.3">
      <c r="A103" s="167" t="s">
        <v>135</v>
      </c>
      <c r="B103" s="174">
        <v>400</v>
      </c>
      <c r="F103" s="7"/>
      <c r="G103" s="306"/>
      <c r="H103" s="306"/>
      <c r="I103" s="306"/>
      <c r="J103" s="306"/>
      <c r="K103" s="306"/>
      <c r="L103" s="306"/>
      <c r="M103" s="306"/>
      <c r="N103" s="306"/>
      <c r="O103" s="306"/>
      <c r="P103" s="306"/>
      <c r="Q103" s="306"/>
      <c r="R103" s="305"/>
      <c r="S103" s="307">
        <f t="shared" ref="S103:S134" si="35">SUM(G103:Q103)</f>
        <v>0</v>
      </c>
      <c r="T103" s="290"/>
    </row>
    <row r="104" spans="1:20" ht="15.6" x14ac:dyDescent="0.3">
      <c r="A104" s="177" t="s">
        <v>108</v>
      </c>
      <c r="B104" s="174"/>
      <c r="F104" s="7"/>
      <c r="G104" s="306"/>
      <c r="H104" s="306"/>
      <c r="I104" s="306"/>
      <c r="J104" s="306"/>
      <c r="K104" s="306"/>
      <c r="L104" s="306"/>
      <c r="M104" s="306"/>
      <c r="N104" s="306"/>
      <c r="O104" s="306"/>
      <c r="P104" s="306"/>
      <c r="Q104" s="306"/>
      <c r="R104" s="305"/>
      <c r="S104" s="307">
        <f t="shared" si="35"/>
        <v>0</v>
      </c>
      <c r="T104" s="290"/>
    </row>
    <row r="105" spans="1:20" ht="15.6" x14ac:dyDescent="0.3">
      <c r="A105" s="181" t="s">
        <v>136</v>
      </c>
      <c r="B105" s="183">
        <f>SUM(B92:B103)</f>
        <v>7852.41</v>
      </c>
      <c r="F105" s="7"/>
      <c r="G105" s="330">
        <f t="shared" ref="G105:Q105" si="36">SUM(G92:G103)</f>
        <v>958.7349999999999</v>
      </c>
      <c r="H105" s="330">
        <f t="shared" si="36"/>
        <v>958.7349999999999</v>
      </c>
      <c r="I105" s="330">
        <f t="shared" si="36"/>
        <v>1808.7349999999999</v>
      </c>
      <c r="J105" s="330">
        <f t="shared" si="36"/>
        <v>958.7349999999999</v>
      </c>
      <c r="K105" s="330">
        <f t="shared" si="36"/>
        <v>958.7349999999999</v>
      </c>
      <c r="L105" s="330">
        <f t="shared" si="36"/>
        <v>0</v>
      </c>
      <c r="M105" s="330">
        <f t="shared" si="36"/>
        <v>0</v>
      </c>
      <c r="N105" s="330">
        <f t="shared" si="36"/>
        <v>0</v>
      </c>
      <c r="O105" s="330">
        <f t="shared" si="36"/>
        <v>0</v>
      </c>
      <c r="P105" s="330">
        <f t="shared" si="36"/>
        <v>0</v>
      </c>
      <c r="Q105" s="330">
        <f t="shared" si="36"/>
        <v>1025</v>
      </c>
      <c r="R105" s="329">
        <f t="shared" ref="R105" si="37">SUM(R92:R103)</f>
        <v>0</v>
      </c>
      <c r="S105" s="331">
        <f t="shared" si="35"/>
        <v>6668.6749999999993</v>
      </c>
      <c r="T105" s="290"/>
    </row>
    <row r="106" spans="1:20" ht="15.6" x14ac:dyDescent="0.3">
      <c r="A106" s="154"/>
      <c r="B106" s="174"/>
      <c r="F106" s="7"/>
      <c r="G106" s="306"/>
      <c r="H106" s="306"/>
      <c r="I106" s="306"/>
      <c r="J106" s="306"/>
      <c r="K106" s="306"/>
      <c r="L106" s="306"/>
      <c r="M106" s="306"/>
      <c r="N106" s="306"/>
      <c r="O106" s="306"/>
      <c r="P106" s="306"/>
      <c r="Q106" s="306"/>
      <c r="R106" s="305"/>
      <c r="S106" s="307">
        <f t="shared" si="35"/>
        <v>0</v>
      </c>
      <c r="T106" s="290"/>
    </row>
    <row r="107" spans="1:20" ht="15.6" x14ac:dyDescent="0.3">
      <c r="A107" s="154" t="s">
        <v>137</v>
      </c>
      <c r="B107" s="174"/>
      <c r="F107" s="7"/>
      <c r="G107" s="306"/>
      <c r="H107" s="306"/>
      <c r="I107" s="306"/>
      <c r="J107" s="306"/>
      <c r="K107" s="306"/>
      <c r="L107" s="306"/>
      <c r="M107" s="306"/>
      <c r="N107" s="306"/>
      <c r="O107" s="306"/>
      <c r="P107" s="306"/>
      <c r="Q107" s="306"/>
      <c r="R107" s="305"/>
      <c r="S107" s="307">
        <f t="shared" si="35"/>
        <v>0</v>
      </c>
      <c r="T107" s="290"/>
    </row>
    <row r="108" spans="1:20" ht="15.6" x14ac:dyDescent="0.3">
      <c r="A108" s="179" t="s">
        <v>189</v>
      </c>
      <c r="B108" s="174">
        <v>6500</v>
      </c>
      <c r="F108" s="7"/>
      <c r="G108" s="306"/>
      <c r="H108" s="306"/>
      <c r="I108" s="306"/>
      <c r="J108" s="306"/>
      <c r="K108" s="306"/>
      <c r="L108" s="306"/>
      <c r="M108" s="306"/>
      <c r="N108" s="306"/>
      <c r="O108" s="306">
        <f>B108/4</f>
        <v>1625</v>
      </c>
      <c r="P108" s="306">
        <f>B108/2</f>
        <v>3250</v>
      </c>
      <c r="Q108" s="306">
        <f>B108/4</f>
        <v>1625</v>
      </c>
      <c r="R108" s="305"/>
      <c r="S108" s="307">
        <f t="shared" si="35"/>
        <v>6500</v>
      </c>
      <c r="T108" s="290"/>
    </row>
    <row r="109" spans="1:20" ht="15.6" x14ac:dyDescent="0.3">
      <c r="A109" s="179"/>
      <c r="B109" s="174"/>
      <c r="F109" s="7"/>
      <c r="G109" s="306"/>
      <c r="H109" s="306"/>
      <c r="I109" s="306"/>
      <c r="J109" s="306"/>
      <c r="K109" s="306"/>
      <c r="L109" s="306"/>
      <c r="M109" s="306"/>
      <c r="N109" s="306"/>
      <c r="O109" s="306"/>
      <c r="P109" s="306"/>
      <c r="Q109" s="306"/>
      <c r="R109" s="305"/>
      <c r="S109" s="307">
        <f t="shared" si="35"/>
        <v>0</v>
      </c>
      <c r="T109" s="290"/>
    </row>
    <row r="110" spans="1:20" ht="15.6" x14ac:dyDescent="0.3">
      <c r="A110" s="198" t="s">
        <v>185</v>
      </c>
      <c r="B110" s="174"/>
      <c r="F110" s="7"/>
      <c r="G110" s="306"/>
      <c r="H110" s="306"/>
      <c r="I110" s="306"/>
      <c r="J110" s="306"/>
      <c r="K110" s="306"/>
      <c r="L110" s="306"/>
      <c r="M110" s="306"/>
      <c r="N110" s="306"/>
      <c r="O110" s="306"/>
      <c r="P110" s="306"/>
      <c r="Q110" s="306"/>
      <c r="R110" s="305"/>
      <c r="S110" s="307">
        <f t="shared" si="35"/>
        <v>0</v>
      </c>
      <c r="T110" s="290"/>
    </row>
    <row r="111" spans="1:20" ht="15.6" x14ac:dyDescent="0.3">
      <c r="A111" s="179" t="s">
        <v>186</v>
      </c>
      <c r="B111" s="174">
        <v>7800</v>
      </c>
      <c r="F111" s="7"/>
      <c r="G111" s="306"/>
      <c r="H111" s="306"/>
      <c r="I111" s="306"/>
      <c r="J111" s="306"/>
      <c r="K111" s="306"/>
      <c r="L111" s="306"/>
      <c r="M111" s="306"/>
      <c r="N111" s="306"/>
      <c r="O111" s="306">
        <f>B111/4</f>
        <v>1950</v>
      </c>
      <c r="P111" s="306">
        <f>B111/2</f>
        <v>3900</v>
      </c>
      <c r="Q111" s="306">
        <f>B111/4</f>
        <v>1950</v>
      </c>
      <c r="R111" s="305"/>
      <c r="S111" s="307">
        <f t="shared" si="35"/>
        <v>7800</v>
      </c>
      <c r="T111" s="290"/>
    </row>
    <row r="112" spans="1:20" ht="15.6" x14ac:dyDescent="0.3">
      <c r="A112" s="179" t="s">
        <v>187</v>
      </c>
      <c r="B112" s="174">
        <v>15000</v>
      </c>
      <c r="F112" s="7"/>
      <c r="G112" s="306"/>
      <c r="H112" s="306"/>
      <c r="I112" s="306"/>
      <c r="J112" s="306"/>
      <c r="K112" s="306"/>
      <c r="L112" s="306"/>
      <c r="M112" s="306"/>
      <c r="N112" s="306"/>
      <c r="O112" s="306">
        <f>B112/4</f>
        <v>3750</v>
      </c>
      <c r="P112" s="306">
        <f>B112/2</f>
        <v>7500</v>
      </c>
      <c r="Q112" s="306">
        <f>B112/4</f>
        <v>3750</v>
      </c>
      <c r="R112" s="305"/>
      <c r="S112" s="307">
        <f t="shared" si="35"/>
        <v>15000</v>
      </c>
      <c r="T112" s="290"/>
    </row>
    <row r="113" spans="1:20" ht="15.6" x14ac:dyDescent="0.3">
      <c r="A113" s="179" t="s">
        <v>188</v>
      </c>
      <c r="B113" s="174">
        <v>450</v>
      </c>
      <c r="F113" s="7"/>
      <c r="G113" s="306"/>
      <c r="H113" s="306"/>
      <c r="I113" s="306"/>
      <c r="J113" s="306"/>
      <c r="K113" s="306"/>
      <c r="L113" s="306"/>
      <c r="M113" s="306"/>
      <c r="N113" s="306"/>
      <c r="O113" s="306">
        <f>B113/4</f>
        <v>112.5</v>
      </c>
      <c r="P113" s="306">
        <f>B113/2</f>
        <v>225</v>
      </c>
      <c r="Q113" s="306">
        <f>B113/4</f>
        <v>112.5</v>
      </c>
      <c r="R113" s="305"/>
      <c r="S113" s="307">
        <f t="shared" si="35"/>
        <v>450</v>
      </c>
      <c r="T113" s="290"/>
    </row>
    <row r="114" spans="1:20" ht="15.6" x14ac:dyDescent="0.3">
      <c r="A114" s="179"/>
      <c r="B114" s="174"/>
      <c r="F114" s="7"/>
      <c r="G114" s="306"/>
      <c r="H114" s="306"/>
      <c r="I114" s="306"/>
      <c r="J114" s="306"/>
      <c r="K114" s="306"/>
      <c r="L114" s="306"/>
      <c r="M114" s="306"/>
      <c r="N114" s="306"/>
      <c r="O114" s="306"/>
      <c r="P114" s="306"/>
      <c r="Q114" s="306"/>
      <c r="R114" s="305"/>
      <c r="S114" s="307">
        <f t="shared" si="35"/>
        <v>0</v>
      </c>
      <c r="T114" s="290"/>
    </row>
    <row r="115" spans="1:20" ht="15.6" x14ac:dyDescent="0.3">
      <c r="A115" s="179" t="s">
        <v>138</v>
      </c>
      <c r="B115" s="174">
        <v>700</v>
      </c>
      <c r="F115" s="7"/>
      <c r="G115" s="306"/>
      <c r="H115" s="306"/>
      <c r="I115" s="306"/>
      <c r="J115" s="306"/>
      <c r="K115" s="306"/>
      <c r="L115" s="306"/>
      <c r="M115" s="306"/>
      <c r="N115" s="306"/>
      <c r="O115" s="306"/>
      <c r="P115" s="306"/>
      <c r="Q115" s="306"/>
      <c r="R115" s="305"/>
      <c r="S115" s="307">
        <f t="shared" si="35"/>
        <v>0</v>
      </c>
      <c r="T115" s="290"/>
    </row>
    <row r="116" spans="1:20" ht="15.6" x14ac:dyDescent="0.3">
      <c r="A116" s="177" t="s">
        <v>108</v>
      </c>
      <c r="B116" s="174"/>
      <c r="F116" s="7"/>
      <c r="G116" s="306"/>
      <c r="H116" s="306"/>
      <c r="I116" s="306"/>
      <c r="J116" s="306"/>
      <c r="K116" s="306"/>
      <c r="L116" s="306"/>
      <c r="M116" s="306"/>
      <c r="N116" s="306"/>
      <c r="O116" s="306"/>
      <c r="P116" s="306"/>
      <c r="Q116" s="306"/>
      <c r="R116" s="305"/>
      <c r="S116" s="307">
        <f t="shared" si="35"/>
        <v>0</v>
      </c>
      <c r="T116" s="290"/>
    </row>
    <row r="117" spans="1:20" ht="15.6" x14ac:dyDescent="0.3">
      <c r="A117" s="181" t="s">
        <v>139</v>
      </c>
      <c r="B117" s="183">
        <f>SUM(B108:B115)</f>
        <v>30450</v>
      </c>
      <c r="F117" s="7"/>
      <c r="G117" s="330">
        <f t="shared" ref="G117:Q117" si="38">SUM(G108:G115)</f>
        <v>0</v>
      </c>
      <c r="H117" s="330">
        <f t="shared" si="38"/>
        <v>0</v>
      </c>
      <c r="I117" s="330">
        <f t="shared" si="38"/>
        <v>0</v>
      </c>
      <c r="J117" s="330">
        <f t="shared" si="38"/>
        <v>0</v>
      </c>
      <c r="K117" s="330">
        <f t="shared" si="38"/>
        <v>0</v>
      </c>
      <c r="L117" s="330">
        <f t="shared" si="38"/>
        <v>0</v>
      </c>
      <c r="M117" s="330">
        <f t="shared" si="38"/>
        <v>0</v>
      </c>
      <c r="N117" s="330">
        <f t="shared" si="38"/>
        <v>0</v>
      </c>
      <c r="O117" s="330">
        <f t="shared" si="38"/>
        <v>7437.5</v>
      </c>
      <c r="P117" s="330">
        <f t="shared" si="38"/>
        <v>14875</v>
      </c>
      <c r="Q117" s="330">
        <f t="shared" si="38"/>
        <v>7437.5</v>
      </c>
      <c r="R117" s="329">
        <f t="shared" ref="R117" si="39">SUM(R108:R115)</f>
        <v>0</v>
      </c>
      <c r="S117" s="331">
        <f t="shared" si="35"/>
        <v>29750</v>
      </c>
      <c r="T117" s="290"/>
    </row>
    <row r="118" spans="1:20" ht="15.6" x14ac:dyDescent="0.3">
      <c r="A118" s="164"/>
      <c r="B118" s="174"/>
      <c r="F118" s="7"/>
      <c r="G118" s="306"/>
      <c r="H118" s="306"/>
      <c r="I118" s="306"/>
      <c r="J118" s="306"/>
      <c r="K118" s="306"/>
      <c r="L118" s="306"/>
      <c r="M118" s="306"/>
      <c r="N118" s="306"/>
      <c r="O118" s="306"/>
      <c r="P118" s="306"/>
      <c r="Q118" s="306"/>
      <c r="R118" s="305"/>
      <c r="S118" s="307">
        <f t="shared" si="35"/>
        <v>0</v>
      </c>
      <c r="T118" s="290"/>
    </row>
    <row r="119" spans="1:20" ht="15.6" x14ac:dyDescent="0.3">
      <c r="A119" s="175" t="s">
        <v>45</v>
      </c>
      <c r="B119" s="174"/>
      <c r="F119" s="7"/>
      <c r="G119" s="306"/>
      <c r="H119" s="306"/>
      <c r="I119" s="306"/>
      <c r="J119" s="306"/>
      <c r="K119" s="306"/>
      <c r="L119" s="306"/>
      <c r="M119" s="306"/>
      <c r="N119" s="306"/>
      <c r="O119" s="306"/>
      <c r="P119" s="306"/>
      <c r="Q119" s="306"/>
      <c r="R119" s="305"/>
      <c r="S119" s="307">
        <f t="shared" si="35"/>
        <v>0</v>
      </c>
      <c r="T119" s="290"/>
    </row>
    <row r="120" spans="1:20" ht="15.6" x14ac:dyDescent="0.3">
      <c r="A120" s="167" t="s">
        <v>140</v>
      </c>
      <c r="B120" s="174">
        <v>500</v>
      </c>
      <c r="F120" s="7"/>
      <c r="G120" s="306">
        <v>41.666666666666664</v>
      </c>
      <c r="H120" s="306">
        <v>41.666666666666664</v>
      </c>
      <c r="I120" s="306">
        <v>41.666666666666664</v>
      </c>
      <c r="J120" s="306">
        <v>41.666666666666664</v>
      </c>
      <c r="K120" s="306">
        <v>41.666666666666664</v>
      </c>
      <c r="L120" s="306">
        <v>41.666666666666664</v>
      </c>
      <c r="M120" s="306">
        <v>41.666666666666664</v>
      </c>
      <c r="N120" s="306">
        <v>41.666666666666664</v>
      </c>
      <c r="O120" s="306">
        <v>41.666666666666664</v>
      </c>
      <c r="P120" s="306">
        <v>41.666666666666664</v>
      </c>
      <c r="Q120" s="306">
        <v>41.666666666666664</v>
      </c>
      <c r="R120" s="342">
        <f t="shared" ref="R120:R124" si="40">M120/12</f>
        <v>3.4722222222222219</v>
      </c>
      <c r="S120" s="307">
        <f t="shared" si="35"/>
        <v>458.33333333333337</v>
      </c>
      <c r="T120" s="290"/>
    </row>
    <row r="121" spans="1:20" ht="15.6" x14ac:dyDescent="0.3">
      <c r="A121" s="169" t="s">
        <v>141</v>
      </c>
      <c r="B121" s="174">
        <v>250</v>
      </c>
      <c r="F121" s="7"/>
      <c r="G121" s="306">
        <v>20.833333333333332</v>
      </c>
      <c r="H121" s="306">
        <v>20.833333333333332</v>
      </c>
      <c r="I121" s="306">
        <v>20.833333333333332</v>
      </c>
      <c r="J121" s="306">
        <v>20.833333333333332</v>
      </c>
      <c r="K121" s="306">
        <v>20.833333333333332</v>
      </c>
      <c r="L121" s="306">
        <v>20.833333333333332</v>
      </c>
      <c r="M121" s="306">
        <v>20.833333333333332</v>
      </c>
      <c r="N121" s="306">
        <v>20.833333333333332</v>
      </c>
      <c r="O121" s="306">
        <v>20.833333333333332</v>
      </c>
      <c r="P121" s="306">
        <v>20.833333333333332</v>
      </c>
      <c r="Q121" s="306">
        <v>20.833333333333332</v>
      </c>
      <c r="R121" s="342">
        <f t="shared" si="40"/>
        <v>1.7361111111111109</v>
      </c>
      <c r="S121" s="307">
        <f t="shared" si="35"/>
        <v>229.16666666666669</v>
      </c>
      <c r="T121" s="290"/>
    </row>
    <row r="122" spans="1:20" ht="15.6" x14ac:dyDescent="0.3">
      <c r="A122" s="167" t="s">
        <v>142</v>
      </c>
      <c r="B122" s="174">
        <v>700</v>
      </c>
      <c r="F122" s="7"/>
      <c r="G122" s="306">
        <v>58.333333333333336</v>
      </c>
      <c r="H122" s="306">
        <v>58.333333333333336</v>
      </c>
      <c r="I122" s="306">
        <v>58.333333333333336</v>
      </c>
      <c r="J122" s="306">
        <v>58.333333333333336</v>
      </c>
      <c r="K122" s="306">
        <v>58.333333333333336</v>
      </c>
      <c r="L122" s="306">
        <v>58.333333333333336</v>
      </c>
      <c r="M122" s="306">
        <v>58.333333333333336</v>
      </c>
      <c r="N122" s="306">
        <v>58.333333333333336</v>
      </c>
      <c r="O122" s="306">
        <v>58.333333333333336</v>
      </c>
      <c r="P122" s="306">
        <v>58.333333333333336</v>
      </c>
      <c r="Q122" s="306">
        <v>58.333333333333336</v>
      </c>
      <c r="R122" s="342">
        <f t="shared" si="40"/>
        <v>4.8611111111111116</v>
      </c>
      <c r="S122" s="307">
        <f t="shared" si="35"/>
        <v>641.66666666666674</v>
      </c>
      <c r="T122" s="290"/>
    </row>
    <row r="123" spans="1:20" ht="15.6" x14ac:dyDescent="0.3">
      <c r="A123" s="167" t="s">
        <v>143</v>
      </c>
      <c r="B123" s="174">
        <v>0</v>
      </c>
      <c r="F123" s="7"/>
      <c r="G123" s="306">
        <v>0</v>
      </c>
      <c r="H123" s="306">
        <v>0</v>
      </c>
      <c r="I123" s="306">
        <v>0</v>
      </c>
      <c r="J123" s="306">
        <v>0</v>
      </c>
      <c r="K123" s="306">
        <v>0</v>
      </c>
      <c r="L123" s="306">
        <v>0</v>
      </c>
      <c r="M123" s="306">
        <v>0</v>
      </c>
      <c r="N123" s="306">
        <v>0</v>
      </c>
      <c r="O123" s="306">
        <v>0</v>
      </c>
      <c r="P123" s="306">
        <v>0</v>
      </c>
      <c r="Q123" s="306">
        <v>0</v>
      </c>
      <c r="R123" s="342">
        <f t="shared" si="40"/>
        <v>0</v>
      </c>
      <c r="S123" s="307">
        <f t="shared" si="35"/>
        <v>0</v>
      </c>
      <c r="T123" s="290"/>
    </row>
    <row r="124" spans="1:20" ht="15.6" x14ac:dyDescent="0.3">
      <c r="A124" s="167" t="s">
        <v>144</v>
      </c>
      <c r="B124" s="174">
        <v>450</v>
      </c>
      <c r="F124" s="7"/>
      <c r="G124" s="306">
        <v>37.5</v>
      </c>
      <c r="H124" s="306">
        <v>37.5</v>
      </c>
      <c r="I124" s="306">
        <v>37.5</v>
      </c>
      <c r="J124" s="306">
        <v>37.5</v>
      </c>
      <c r="K124" s="306">
        <v>37.5</v>
      </c>
      <c r="L124" s="306">
        <v>37.5</v>
      </c>
      <c r="M124" s="306">
        <v>37.5</v>
      </c>
      <c r="N124" s="306">
        <v>37.5</v>
      </c>
      <c r="O124" s="306">
        <v>37.5</v>
      </c>
      <c r="P124" s="306">
        <v>37.5</v>
      </c>
      <c r="Q124" s="306">
        <v>37.5</v>
      </c>
      <c r="R124" s="342">
        <f t="shared" si="40"/>
        <v>3.125</v>
      </c>
      <c r="S124" s="307">
        <f t="shared" si="35"/>
        <v>412.5</v>
      </c>
      <c r="T124" s="290"/>
    </row>
    <row r="125" spans="1:20" ht="15.6" x14ac:dyDescent="0.3">
      <c r="A125" s="167" t="s">
        <v>145</v>
      </c>
      <c r="B125" s="174">
        <v>0</v>
      </c>
      <c r="F125" s="7"/>
      <c r="G125" s="306"/>
      <c r="H125" s="306"/>
      <c r="I125" s="306"/>
      <c r="J125" s="306"/>
      <c r="K125" s="306"/>
      <c r="L125" s="306"/>
      <c r="M125" s="306"/>
      <c r="N125" s="306"/>
      <c r="O125" s="306"/>
      <c r="P125" s="306"/>
      <c r="Q125" s="306"/>
      <c r="R125" s="305"/>
      <c r="S125" s="307">
        <f t="shared" si="35"/>
        <v>0</v>
      </c>
      <c r="T125" s="290"/>
    </row>
    <row r="126" spans="1:20" ht="15.6" x14ac:dyDescent="0.3">
      <c r="A126" s="167" t="s">
        <v>146</v>
      </c>
      <c r="B126" s="174">
        <v>1500</v>
      </c>
      <c r="F126" s="7"/>
      <c r="G126" s="306"/>
      <c r="H126" s="306"/>
      <c r="I126" s="306"/>
      <c r="J126" s="306"/>
      <c r="K126" s="306"/>
      <c r="L126" s="306"/>
      <c r="M126" s="306"/>
      <c r="N126" s="306"/>
      <c r="O126" s="306">
        <f>B126/4</f>
        <v>375</v>
      </c>
      <c r="P126" s="306">
        <f>B126/2</f>
        <v>750</v>
      </c>
      <c r="Q126" s="306">
        <f>B126/4</f>
        <v>375</v>
      </c>
      <c r="R126" s="305"/>
      <c r="S126" s="307">
        <f t="shared" si="35"/>
        <v>1500</v>
      </c>
      <c r="T126" s="290"/>
    </row>
    <row r="127" spans="1:20" ht="15.6" x14ac:dyDescent="0.3">
      <c r="A127" s="177" t="s">
        <v>108</v>
      </c>
      <c r="B127" s="174"/>
      <c r="F127" s="7"/>
      <c r="G127" s="306"/>
      <c r="H127" s="306"/>
      <c r="I127" s="306"/>
      <c r="J127" s="306"/>
      <c r="K127" s="306"/>
      <c r="L127" s="306"/>
      <c r="M127" s="306"/>
      <c r="N127" s="306"/>
      <c r="O127" s="306"/>
      <c r="P127" s="306"/>
      <c r="Q127" s="306"/>
      <c r="R127" s="305"/>
      <c r="S127" s="307">
        <f t="shared" si="35"/>
        <v>0</v>
      </c>
      <c r="T127" s="290"/>
    </row>
    <row r="128" spans="1:20" ht="15.6" x14ac:dyDescent="0.3">
      <c r="A128" s="181" t="s">
        <v>147</v>
      </c>
      <c r="B128" s="183">
        <f>SUM(B120:B126)</f>
        <v>3400</v>
      </c>
      <c r="F128" s="7"/>
      <c r="G128" s="330">
        <f t="shared" ref="G128:Q128" si="41">SUM(G120:G126)</f>
        <v>158.33333333333334</v>
      </c>
      <c r="H128" s="330">
        <f t="shared" si="41"/>
        <v>158.33333333333334</v>
      </c>
      <c r="I128" s="330">
        <f t="shared" si="41"/>
        <v>158.33333333333334</v>
      </c>
      <c r="J128" s="330">
        <f t="shared" si="41"/>
        <v>158.33333333333334</v>
      </c>
      <c r="K128" s="330">
        <f t="shared" si="41"/>
        <v>158.33333333333334</v>
      </c>
      <c r="L128" s="330">
        <f t="shared" si="41"/>
        <v>158.33333333333334</v>
      </c>
      <c r="M128" s="330">
        <f t="shared" si="41"/>
        <v>158.33333333333334</v>
      </c>
      <c r="N128" s="330">
        <f t="shared" si="41"/>
        <v>158.33333333333334</v>
      </c>
      <c r="O128" s="330">
        <f t="shared" si="41"/>
        <v>533.33333333333337</v>
      </c>
      <c r="P128" s="330">
        <f t="shared" si="41"/>
        <v>908.33333333333337</v>
      </c>
      <c r="Q128" s="330">
        <f t="shared" si="41"/>
        <v>533.33333333333337</v>
      </c>
      <c r="R128" s="329">
        <f t="shared" ref="R128" si="42">SUM(R120:R126)</f>
        <v>13.194444444444445</v>
      </c>
      <c r="S128" s="331">
        <f t="shared" si="35"/>
        <v>3241.666666666667</v>
      </c>
      <c r="T128" s="290"/>
    </row>
    <row r="129" spans="1:20" ht="15.6" x14ac:dyDescent="0.3">
      <c r="A129" s="164"/>
      <c r="B129" s="174"/>
      <c r="F129" s="7"/>
      <c r="G129" s="306"/>
      <c r="H129" s="306"/>
      <c r="I129" s="306"/>
      <c r="J129" s="306"/>
      <c r="K129" s="306"/>
      <c r="L129" s="306"/>
      <c r="M129" s="306"/>
      <c r="N129" s="306"/>
      <c r="O129" s="306"/>
      <c r="P129" s="306"/>
      <c r="Q129" s="306"/>
      <c r="R129" s="305"/>
      <c r="S129" s="307">
        <f t="shared" si="35"/>
        <v>0</v>
      </c>
      <c r="T129" s="290"/>
    </row>
    <row r="130" spans="1:20" ht="15.6" x14ac:dyDescent="0.3">
      <c r="A130" s="175" t="s">
        <v>190</v>
      </c>
      <c r="B130" s="174"/>
      <c r="F130" s="7"/>
      <c r="G130" s="306"/>
      <c r="H130" s="306"/>
      <c r="I130" s="306"/>
      <c r="J130" s="306"/>
      <c r="K130" s="306"/>
      <c r="L130" s="306"/>
      <c r="M130" s="306"/>
      <c r="N130" s="306"/>
      <c r="O130" s="306"/>
      <c r="P130" s="306"/>
      <c r="Q130" s="306"/>
      <c r="R130" s="305"/>
      <c r="S130" s="307">
        <f t="shared" si="35"/>
        <v>0</v>
      </c>
      <c r="T130" s="290"/>
    </row>
    <row r="131" spans="1:20" ht="15.6" x14ac:dyDescent="0.3">
      <c r="A131" s="179" t="s">
        <v>148</v>
      </c>
      <c r="B131" s="174">
        <v>11217.82</v>
      </c>
      <c r="F131" s="7"/>
      <c r="G131" s="306">
        <v>934.81833333333327</v>
      </c>
      <c r="H131" s="306">
        <v>934.81833333333327</v>
      </c>
      <c r="I131" s="306">
        <v>934.81833333333327</v>
      </c>
      <c r="J131" s="306">
        <v>934.81833333333327</v>
      </c>
      <c r="K131" s="306">
        <v>934.81833333333327</v>
      </c>
      <c r="L131" s="306">
        <v>934.81833333333327</v>
      </c>
      <c r="M131" s="306">
        <v>934.81833333333327</v>
      </c>
      <c r="N131" s="306">
        <v>934.81833333333327</v>
      </c>
      <c r="O131" s="306">
        <v>934.81833333333327</v>
      </c>
      <c r="P131" s="306">
        <v>934.81833333333327</v>
      </c>
      <c r="Q131" s="306">
        <v>934.81833333333327</v>
      </c>
      <c r="R131" s="305">
        <f>M131/12</f>
        <v>77.901527777777773</v>
      </c>
      <c r="S131" s="307">
        <f t="shared" si="35"/>
        <v>10283.001666666665</v>
      </c>
      <c r="T131" s="290"/>
    </row>
    <row r="132" spans="1:20" ht="15.6" x14ac:dyDescent="0.3">
      <c r="A132" s="179" t="s">
        <v>149</v>
      </c>
      <c r="B132" s="174">
        <v>0</v>
      </c>
      <c r="F132" s="7"/>
      <c r="G132" s="306"/>
      <c r="H132" s="306"/>
      <c r="I132" s="306"/>
      <c r="J132" s="306"/>
      <c r="K132" s="306"/>
      <c r="L132" s="306"/>
      <c r="M132" s="306"/>
      <c r="N132" s="306"/>
      <c r="O132" s="306"/>
      <c r="P132" s="306"/>
      <c r="Q132" s="306"/>
      <c r="R132" s="305"/>
      <c r="S132" s="307">
        <f t="shared" si="35"/>
        <v>0</v>
      </c>
      <c r="T132" s="290"/>
    </row>
    <row r="133" spans="1:20" ht="15.6" x14ac:dyDescent="0.3">
      <c r="A133" s="179" t="s">
        <v>150</v>
      </c>
      <c r="B133" s="174">
        <v>878.63</v>
      </c>
      <c r="F133" s="7"/>
      <c r="G133" s="306">
        <v>73.219166666666666</v>
      </c>
      <c r="H133" s="306">
        <v>73.219166666666666</v>
      </c>
      <c r="I133" s="306">
        <v>73.219166666666666</v>
      </c>
      <c r="J133" s="306">
        <v>73.219166666666666</v>
      </c>
      <c r="K133" s="306">
        <v>73.219166666666666</v>
      </c>
      <c r="L133" s="306">
        <v>73.219166666666666</v>
      </c>
      <c r="M133" s="306">
        <v>73.219166666666666</v>
      </c>
      <c r="N133" s="306">
        <v>73.219166666666666</v>
      </c>
      <c r="O133" s="306">
        <v>73.219166666666666</v>
      </c>
      <c r="P133" s="306">
        <v>73.219166666666666</v>
      </c>
      <c r="Q133" s="306">
        <v>73.219166666666666</v>
      </c>
      <c r="R133" s="305">
        <f t="shared" ref="R133:R141" si="43">M133/12</f>
        <v>6.1015972222222219</v>
      </c>
      <c r="S133" s="307">
        <f t="shared" si="35"/>
        <v>805.41083333333313</v>
      </c>
      <c r="T133" s="290"/>
    </row>
    <row r="134" spans="1:20" ht="15.6" x14ac:dyDescent="0.3">
      <c r="A134" s="179" t="s">
        <v>151</v>
      </c>
      <c r="B134" s="174">
        <v>2856.9</v>
      </c>
      <c r="F134" s="7"/>
      <c r="G134" s="306">
        <v>238.07500000000002</v>
      </c>
      <c r="H134" s="306">
        <v>238.07500000000002</v>
      </c>
      <c r="I134" s="306">
        <v>238.07500000000002</v>
      </c>
      <c r="J134" s="306">
        <v>238.07500000000002</v>
      </c>
      <c r="K134" s="306">
        <v>238.07500000000002</v>
      </c>
      <c r="L134" s="306">
        <v>238.07500000000002</v>
      </c>
      <c r="M134" s="306">
        <v>238.07500000000002</v>
      </c>
      <c r="N134" s="306">
        <v>238.07500000000002</v>
      </c>
      <c r="O134" s="306">
        <v>238.07500000000002</v>
      </c>
      <c r="P134" s="306">
        <v>238.07500000000002</v>
      </c>
      <c r="Q134" s="306">
        <v>238.07500000000002</v>
      </c>
      <c r="R134" s="305">
        <f t="shared" si="43"/>
        <v>19.839583333333334</v>
      </c>
      <c r="S134" s="307">
        <f t="shared" si="35"/>
        <v>2618.8249999999998</v>
      </c>
      <c r="T134" s="290"/>
    </row>
    <row r="135" spans="1:20" ht="15.6" x14ac:dyDescent="0.3">
      <c r="A135" s="179" t="s">
        <v>152</v>
      </c>
      <c r="B135" s="174">
        <v>1358.19</v>
      </c>
      <c r="F135" s="7"/>
      <c r="G135" s="306">
        <v>113.1825</v>
      </c>
      <c r="H135" s="306">
        <v>113.1825</v>
      </c>
      <c r="I135" s="306">
        <v>113.1825</v>
      </c>
      <c r="J135" s="306">
        <v>113.1825</v>
      </c>
      <c r="K135" s="306">
        <v>113.1825</v>
      </c>
      <c r="L135" s="306">
        <v>113.1825</v>
      </c>
      <c r="M135" s="306">
        <v>113.1825</v>
      </c>
      <c r="N135" s="306">
        <v>113.1825</v>
      </c>
      <c r="O135" s="306">
        <v>113.1825</v>
      </c>
      <c r="P135" s="306">
        <v>113.1825</v>
      </c>
      <c r="Q135" s="306">
        <v>113.1825</v>
      </c>
      <c r="R135" s="305">
        <f t="shared" si="43"/>
        <v>9.4318749999999998</v>
      </c>
      <c r="S135" s="307">
        <f t="shared" ref="S135:S148" si="44">SUM(G135:Q135)</f>
        <v>1245.0075000000002</v>
      </c>
      <c r="T135" s="290"/>
    </row>
    <row r="136" spans="1:20" ht="15.6" x14ac:dyDescent="0.3">
      <c r="A136" s="179" t="s">
        <v>153</v>
      </c>
      <c r="B136" s="174">
        <v>725.86</v>
      </c>
      <c r="F136" s="7"/>
      <c r="G136" s="306">
        <v>60.488333333333337</v>
      </c>
      <c r="H136" s="306">
        <v>60.488333333333337</v>
      </c>
      <c r="I136" s="306">
        <v>60.488333333333337</v>
      </c>
      <c r="J136" s="306">
        <v>60.488333333333337</v>
      </c>
      <c r="K136" s="306">
        <v>60.488333333333337</v>
      </c>
      <c r="L136" s="306">
        <v>60.488333333333337</v>
      </c>
      <c r="M136" s="306">
        <v>60.488333333333337</v>
      </c>
      <c r="N136" s="306">
        <v>60.488333333333337</v>
      </c>
      <c r="O136" s="306">
        <v>60.488333333333337</v>
      </c>
      <c r="P136" s="306">
        <v>60.488333333333337</v>
      </c>
      <c r="Q136" s="306">
        <v>60.488333333333337</v>
      </c>
      <c r="R136" s="305">
        <f t="shared" si="43"/>
        <v>5.040694444444445</v>
      </c>
      <c r="S136" s="307">
        <f t="shared" si="44"/>
        <v>665.37166666666667</v>
      </c>
      <c r="T136" s="290"/>
    </row>
    <row r="137" spans="1:20" ht="15.6" x14ac:dyDescent="0.3">
      <c r="A137" s="179" t="s">
        <v>154</v>
      </c>
      <c r="B137" s="174">
        <v>2000</v>
      </c>
      <c r="F137" s="7"/>
      <c r="G137" s="306">
        <v>166.66666666666666</v>
      </c>
      <c r="H137" s="306">
        <v>166.66666666666666</v>
      </c>
      <c r="I137" s="306">
        <v>166.66666666666666</v>
      </c>
      <c r="J137" s="306">
        <v>166.66666666666666</v>
      </c>
      <c r="K137" s="306">
        <v>166.66666666666666</v>
      </c>
      <c r="L137" s="306">
        <v>166.66666666666666</v>
      </c>
      <c r="M137" s="306">
        <v>166.66666666666666</v>
      </c>
      <c r="N137" s="306">
        <v>166.66666666666666</v>
      </c>
      <c r="O137" s="306">
        <v>166.66666666666666</v>
      </c>
      <c r="P137" s="306">
        <v>166.66666666666666</v>
      </c>
      <c r="Q137" s="306">
        <v>166.66666666666666</v>
      </c>
      <c r="R137" s="305">
        <f t="shared" si="43"/>
        <v>13.888888888888888</v>
      </c>
      <c r="S137" s="307">
        <f t="shared" si="44"/>
        <v>1833.3333333333335</v>
      </c>
      <c r="T137" s="290"/>
    </row>
    <row r="138" spans="1:20" ht="15.6" x14ac:dyDescent="0.3">
      <c r="A138" s="179" t="s">
        <v>155</v>
      </c>
      <c r="B138" s="174">
        <v>2979.93</v>
      </c>
      <c r="F138" s="7"/>
      <c r="G138" s="306">
        <v>248.32749999999999</v>
      </c>
      <c r="H138" s="306">
        <v>248.32749999999999</v>
      </c>
      <c r="I138" s="306">
        <v>248.32749999999999</v>
      </c>
      <c r="J138" s="306">
        <v>248.32749999999999</v>
      </c>
      <c r="K138" s="306">
        <v>248.32749999999999</v>
      </c>
      <c r="L138" s="306">
        <v>248.32749999999999</v>
      </c>
      <c r="M138" s="306">
        <v>248.32749999999999</v>
      </c>
      <c r="N138" s="306">
        <v>248.32749999999999</v>
      </c>
      <c r="O138" s="306">
        <v>248.32749999999999</v>
      </c>
      <c r="P138" s="306">
        <v>248.32749999999999</v>
      </c>
      <c r="Q138" s="306">
        <v>248.32749999999999</v>
      </c>
      <c r="R138" s="305">
        <f t="shared" si="43"/>
        <v>20.693958333333331</v>
      </c>
      <c r="S138" s="307">
        <f t="shared" si="44"/>
        <v>2731.6024999999991</v>
      </c>
      <c r="T138" s="290"/>
    </row>
    <row r="139" spans="1:20" ht="15.6" x14ac:dyDescent="0.3">
      <c r="A139" s="179" t="s">
        <v>156</v>
      </c>
      <c r="B139" s="174">
        <v>3040</v>
      </c>
      <c r="F139" s="7"/>
      <c r="G139" s="306">
        <v>253.33333333333334</v>
      </c>
      <c r="H139" s="306">
        <v>253.33333333333334</v>
      </c>
      <c r="I139" s="306">
        <v>253.33333333333334</v>
      </c>
      <c r="J139" s="306">
        <v>253.33333333333334</v>
      </c>
      <c r="K139" s="306">
        <v>253.33333333333334</v>
      </c>
      <c r="L139" s="306">
        <v>253.33333333333334</v>
      </c>
      <c r="M139" s="306">
        <v>253.33333333333334</v>
      </c>
      <c r="N139" s="306">
        <v>253.33333333333334</v>
      </c>
      <c r="O139" s="306">
        <v>253.33333333333334</v>
      </c>
      <c r="P139" s="306">
        <v>253.33333333333334</v>
      </c>
      <c r="Q139" s="306">
        <v>253.33333333333334</v>
      </c>
      <c r="R139" s="305">
        <f t="shared" si="43"/>
        <v>21.111111111111111</v>
      </c>
      <c r="S139" s="307">
        <f t="shared" si="44"/>
        <v>2786.666666666667</v>
      </c>
      <c r="T139" s="290"/>
    </row>
    <row r="140" spans="1:20" ht="15.6" x14ac:dyDescent="0.3">
      <c r="A140" s="179" t="s">
        <v>157</v>
      </c>
      <c r="B140" s="174">
        <v>3262</v>
      </c>
      <c r="F140" s="7"/>
      <c r="G140" s="306">
        <v>271.83333333333331</v>
      </c>
      <c r="H140" s="306">
        <v>271.83333333333331</v>
      </c>
      <c r="I140" s="306">
        <v>271.83333333333331</v>
      </c>
      <c r="J140" s="306">
        <v>271.83333333333331</v>
      </c>
      <c r="K140" s="306">
        <v>271.83333333333331</v>
      </c>
      <c r="L140" s="306">
        <v>271.83333333333331</v>
      </c>
      <c r="M140" s="306">
        <v>271.83333333333331</v>
      </c>
      <c r="N140" s="306">
        <v>271.83333333333331</v>
      </c>
      <c r="O140" s="306">
        <v>271.83333333333331</v>
      </c>
      <c r="P140" s="306">
        <v>271.83333333333331</v>
      </c>
      <c r="Q140" s="306">
        <v>271.83333333333331</v>
      </c>
      <c r="R140" s="305">
        <f t="shared" si="43"/>
        <v>22.652777777777775</v>
      </c>
      <c r="S140" s="307">
        <f t="shared" si="44"/>
        <v>2990.166666666667</v>
      </c>
      <c r="T140" s="290"/>
    </row>
    <row r="141" spans="1:20" ht="15.6" x14ac:dyDescent="0.3">
      <c r="A141" s="179" t="s">
        <v>191</v>
      </c>
      <c r="B141" s="174">
        <v>27157.08</v>
      </c>
      <c r="F141" s="7"/>
      <c r="G141" s="306">
        <v>2263.09</v>
      </c>
      <c r="H141" s="306">
        <v>2263.09</v>
      </c>
      <c r="I141" s="306">
        <v>2263.09</v>
      </c>
      <c r="J141" s="306">
        <v>2263.09</v>
      </c>
      <c r="K141" s="306">
        <v>2263.09</v>
      </c>
      <c r="L141" s="306">
        <v>2263.09</v>
      </c>
      <c r="M141" s="306">
        <v>2263.09</v>
      </c>
      <c r="N141" s="306">
        <v>2263.09</v>
      </c>
      <c r="O141" s="306">
        <v>2263.09</v>
      </c>
      <c r="P141" s="306">
        <v>2263.09</v>
      </c>
      <c r="Q141" s="306">
        <v>2263.09</v>
      </c>
      <c r="R141" s="305">
        <f t="shared" si="43"/>
        <v>188.59083333333334</v>
      </c>
      <c r="S141" s="307">
        <f t="shared" si="44"/>
        <v>24893.99</v>
      </c>
      <c r="T141" s="290"/>
    </row>
    <row r="142" spans="1:20" ht="15.6" x14ac:dyDescent="0.3">
      <c r="A142" s="179" t="s">
        <v>158</v>
      </c>
      <c r="B142" s="174">
        <v>0</v>
      </c>
      <c r="F142" s="7"/>
      <c r="G142" s="306"/>
      <c r="H142" s="306"/>
      <c r="I142" s="306"/>
      <c r="J142" s="306"/>
      <c r="K142" s="306"/>
      <c r="L142" s="306"/>
      <c r="M142" s="306"/>
      <c r="N142" s="306"/>
      <c r="O142" s="306"/>
      <c r="P142" s="306"/>
      <c r="Q142" s="306"/>
      <c r="R142" s="305"/>
      <c r="S142" s="307">
        <f t="shared" si="44"/>
        <v>0</v>
      </c>
      <c r="T142" s="290"/>
    </row>
    <row r="143" spans="1:20" ht="15.6" x14ac:dyDescent="0.3">
      <c r="A143" s="179" t="s">
        <v>195</v>
      </c>
      <c r="B143" s="174">
        <v>0</v>
      </c>
      <c r="F143" s="7"/>
      <c r="G143" s="306"/>
      <c r="H143" s="306"/>
      <c r="I143" s="306"/>
      <c r="J143" s="306"/>
      <c r="K143" s="306"/>
      <c r="L143" s="306"/>
      <c r="M143" s="306"/>
      <c r="N143" s="306"/>
      <c r="O143" s="306"/>
      <c r="P143" s="306"/>
      <c r="Q143" s="306"/>
      <c r="R143" s="305"/>
      <c r="S143" s="307">
        <f t="shared" si="44"/>
        <v>0</v>
      </c>
      <c r="T143" s="290"/>
    </row>
    <row r="144" spans="1:20" ht="15.6" x14ac:dyDescent="0.3">
      <c r="A144" s="179" t="s">
        <v>196</v>
      </c>
      <c r="B144" s="174">
        <v>0</v>
      </c>
      <c r="F144" s="7"/>
      <c r="G144" s="306"/>
      <c r="H144" s="306"/>
      <c r="I144" s="306"/>
      <c r="J144" s="306"/>
      <c r="K144" s="306"/>
      <c r="L144" s="306"/>
      <c r="M144" s="306"/>
      <c r="N144" s="306"/>
      <c r="O144" s="306"/>
      <c r="P144" s="306"/>
      <c r="Q144" s="306"/>
      <c r="R144" s="305"/>
      <c r="S144" s="307">
        <f t="shared" si="44"/>
        <v>0</v>
      </c>
      <c r="T144" s="290"/>
    </row>
    <row r="145" spans="1:20" ht="15.6" x14ac:dyDescent="0.3">
      <c r="A145" s="179" t="s">
        <v>159</v>
      </c>
      <c r="B145" s="174">
        <v>400</v>
      </c>
      <c r="F145" s="7"/>
      <c r="G145" s="306">
        <v>33.333333333333336</v>
      </c>
      <c r="H145" s="306">
        <v>33.333333333333336</v>
      </c>
      <c r="I145" s="306">
        <v>33.333333333333336</v>
      </c>
      <c r="J145" s="306">
        <v>33.333333333333336</v>
      </c>
      <c r="K145" s="306">
        <v>33.333333333333336</v>
      </c>
      <c r="L145" s="306">
        <v>33.333333333333336</v>
      </c>
      <c r="M145" s="306">
        <v>33.333333333333336</v>
      </c>
      <c r="N145" s="306">
        <v>33.333333333333336</v>
      </c>
      <c r="O145" s="306">
        <v>33.333333333333336</v>
      </c>
      <c r="P145" s="306">
        <v>33.333333333333336</v>
      </c>
      <c r="Q145" s="306">
        <v>33.333333333333336</v>
      </c>
      <c r="R145" s="305">
        <f t="shared" ref="R145:R146" si="45">M145/12</f>
        <v>2.7777777777777781</v>
      </c>
      <c r="S145" s="307">
        <f t="shared" si="44"/>
        <v>366.66666666666663</v>
      </c>
      <c r="T145" s="290"/>
    </row>
    <row r="146" spans="1:20" ht="15.6" x14ac:dyDescent="0.3">
      <c r="A146" s="179" t="s">
        <v>160</v>
      </c>
      <c r="B146" s="174">
        <v>4500</v>
      </c>
      <c r="F146" s="7"/>
      <c r="G146" s="306">
        <v>375</v>
      </c>
      <c r="H146" s="306">
        <v>375</v>
      </c>
      <c r="I146" s="306">
        <v>375</v>
      </c>
      <c r="J146" s="306">
        <v>375</v>
      </c>
      <c r="K146" s="306">
        <v>375</v>
      </c>
      <c r="L146" s="306">
        <v>375</v>
      </c>
      <c r="M146" s="306">
        <v>375</v>
      </c>
      <c r="N146" s="306">
        <v>375</v>
      </c>
      <c r="O146" s="306">
        <v>375</v>
      </c>
      <c r="P146" s="306">
        <v>375</v>
      </c>
      <c r="Q146" s="306">
        <v>375</v>
      </c>
      <c r="R146" s="305">
        <f t="shared" si="45"/>
        <v>31.25</v>
      </c>
      <c r="S146" s="307">
        <f t="shared" si="44"/>
        <v>4125</v>
      </c>
      <c r="T146" s="290"/>
    </row>
    <row r="147" spans="1:20" ht="15.6" x14ac:dyDescent="0.3">
      <c r="A147" s="177" t="s">
        <v>108</v>
      </c>
      <c r="B147" s="174"/>
      <c r="F147" s="7"/>
      <c r="G147" s="306"/>
      <c r="H147" s="306"/>
      <c r="I147" s="306"/>
      <c r="J147" s="306"/>
      <c r="K147" s="306"/>
      <c r="L147" s="306"/>
      <c r="M147" s="306"/>
      <c r="N147" s="306"/>
      <c r="O147" s="306"/>
      <c r="P147" s="306"/>
      <c r="Q147" s="306"/>
      <c r="R147" s="305"/>
      <c r="S147" s="307">
        <f t="shared" si="44"/>
        <v>0</v>
      </c>
      <c r="T147" s="290"/>
    </row>
    <row r="148" spans="1:20" ht="16.2" thickBot="1" x14ac:dyDescent="0.35">
      <c r="A148" s="261" t="s">
        <v>161</v>
      </c>
      <c r="B148" s="262">
        <f>SUM(B131:B146)</f>
        <v>60376.41</v>
      </c>
      <c r="F148" s="7"/>
      <c r="G148" s="333">
        <f t="shared" ref="G148:Q148" si="46">SUM(G131:G146)</f>
        <v>5031.3675000000003</v>
      </c>
      <c r="H148" s="333">
        <f t="shared" si="46"/>
        <v>5031.3675000000003</v>
      </c>
      <c r="I148" s="333">
        <f t="shared" si="46"/>
        <v>5031.3675000000003</v>
      </c>
      <c r="J148" s="333">
        <f t="shared" si="46"/>
        <v>5031.3675000000003</v>
      </c>
      <c r="K148" s="333">
        <f t="shared" si="46"/>
        <v>5031.3675000000003</v>
      </c>
      <c r="L148" s="333">
        <f t="shared" si="46"/>
        <v>5031.3675000000003</v>
      </c>
      <c r="M148" s="333">
        <f t="shared" si="46"/>
        <v>5031.3675000000003</v>
      </c>
      <c r="N148" s="333">
        <f t="shared" si="46"/>
        <v>5031.3675000000003</v>
      </c>
      <c r="O148" s="333">
        <f t="shared" si="46"/>
        <v>5031.3675000000003</v>
      </c>
      <c r="P148" s="333">
        <f t="shared" si="46"/>
        <v>5031.3675000000003</v>
      </c>
      <c r="Q148" s="333">
        <f t="shared" si="46"/>
        <v>5031.3675000000003</v>
      </c>
      <c r="R148" s="332">
        <f t="shared" ref="R148" si="47">SUM(R131:R146)</f>
        <v>419.28062500000004</v>
      </c>
      <c r="S148" s="334">
        <f t="shared" si="44"/>
        <v>55345.042500000003</v>
      </c>
      <c r="T148" s="290"/>
    </row>
    <row r="149" spans="1:20" ht="16.2" thickTop="1" x14ac:dyDescent="0.3">
      <c r="A149"/>
      <c r="B149" s="263"/>
      <c r="G149" s="289"/>
      <c r="H149" s="289"/>
      <c r="I149" s="289"/>
      <c r="J149" s="289"/>
      <c r="K149" s="289"/>
      <c r="L149" s="289"/>
      <c r="M149" s="289"/>
      <c r="N149" s="289"/>
      <c r="O149" s="289"/>
      <c r="P149" s="289"/>
      <c r="Q149" s="289"/>
      <c r="R149" s="289"/>
      <c r="S149" s="290"/>
      <c r="T149" s="290"/>
    </row>
    <row r="150" spans="1:20" ht="15.6" x14ac:dyDescent="0.3">
      <c r="A150" s="181"/>
      <c r="B150" s="183"/>
      <c r="G150" s="289"/>
      <c r="H150" s="289"/>
      <c r="I150" s="289"/>
      <c r="J150" s="289"/>
      <c r="K150" s="289"/>
      <c r="L150" s="289"/>
      <c r="M150" s="289"/>
      <c r="N150" s="289"/>
      <c r="O150" s="289"/>
      <c r="P150" s="289"/>
      <c r="Q150" s="289"/>
      <c r="R150" s="289"/>
      <c r="S150" s="290"/>
      <c r="T150" s="290"/>
    </row>
    <row r="151" spans="1:20" x14ac:dyDescent="0.3">
      <c r="A151" s="134" t="s">
        <v>255</v>
      </c>
      <c r="B151" s="253">
        <f>B37+B51+B60+B66+B80+B89+B105+B117+B128+B148</f>
        <v>982853.82000000007</v>
      </c>
      <c r="G151" s="289">
        <f t="shared" ref="G151:Q151" si="48">G37+G51+G60+G66+G80+G89+G105+G117+G128+G148</f>
        <v>27895.563361839999</v>
      </c>
      <c r="H151" s="289">
        <f t="shared" si="48"/>
        <v>27895.563361839999</v>
      </c>
      <c r="I151" s="289">
        <f t="shared" si="48"/>
        <v>28745.563361839999</v>
      </c>
      <c r="J151" s="289">
        <f t="shared" si="48"/>
        <v>27895.563361839999</v>
      </c>
      <c r="K151" s="289">
        <f t="shared" si="48"/>
        <v>27895.563361839999</v>
      </c>
      <c r="L151" s="289">
        <f t="shared" si="48"/>
        <v>29081.828361839998</v>
      </c>
      <c r="M151" s="289">
        <f t="shared" si="48"/>
        <v>29081.828361839998</v>
      </c>
      <c r="N151" s="289">
        <f t="shared" si="48"/>
        <v>28366.828361839998</v>
      </c>
      <c r="O151" s="289">
        <f t="shared" si="48"/>
        <v>185638.66950000005</v>
      </c>
      <c r="P151" s="289">
        <f t="shared" si="48"/>
        <v>351051.69549999997</v>
      </c>
      <c r="Q151" s="289">
        <f t="shared" si="48"/>
        <v>190484.39350000003</v>
      </c>
      <c r="R151" s="289">
        <f>R37+R51+R60+R66+R80+R89+R105+R117+R128+R148</f>
        <v>21958.074820173333</v>
      </c>
      <c r="S151" s="290"/>
      <c r="T151" s="290"/>
    </row>
    <row r="152" spans="1:20" x14ac:dyDescent="0.3">
      <c r="G152" s="289"/>
      <c r="H152" s="289"/>
      <c r="I152" s="289"/>
      <c r="J152" s="289"/>
      <c r="K152" s="289"/>
      <c r="L152" s="289"/>
      <c r="M152" s="289"/>
      <c r="N152" s="289"/>
      <c r="O152" s="289"/>
      <c r="P152" s="289"/>
      <c r="Q152" s="289"/>
      <c r="R152" s="289"/>
      <c r="S152" s="290"/>
      <c r="T152" s="290"/>
    </row>
    <row r="153" spans="1:20" x14ac:dyDescent="0.3">
      <c r="A153" s="134" t="s">
        <v>256</v>
      </c>
      <c r="G153" s="293">
        <f t="shared" ref="G153:Q153" si="49">G6+G17-G151</f>
        <v>250396.43663816</v>
      </c>
      <c r="H153" s="293">
        <f t="shared" si="49"/>
        <v>306700.87327632005</v>
      </c>
      <c r="I153" s="293">
        <f t="shared" si="49"/>
        <v>468955.30991448008</v>
      </c>
      <c r="J153" s="293">
        <f t="shared" si="49"/>
        <v>636549.74655264011</v>
      </c>
      <c r="K153" s="293">
        <f t="shared" si="49"/>
        <v>782954.18319080013</v>
      </c>
      <c r="L153" s="293">
        <f t="shared" si="49"/>
        <v>931972.35482896015</v>
      </c>
      <c r="M153" s="293">
        <f t="shared" si="49"/>
        <v>1131708.5264671203</v>
      </c>
      <c r="N153" s="293">
        <f t="shared" si="49"/>
        <v>1304341.6981052803</v>
      </c>
      <c r="O153" s="293">
        <f t="shared" si="49"/>
        <v>1412383.81260528</v>
      </c>
      <c r="P153" s="293">
        <f t="shared" si="49"/>
        <v>1066332.11710528</v>
      </c>
      <c r="Q153" s="293">
        <f t="shared" si="49"/>
        <v>882197.72360528004</v>
      </c>
      <c r="R153" s="293">
        <f>R6+R17-R151</f>
        <v>1042989.6487851067</v>
      </c>
      <c r="S153" s="292"/>
      <c r="T153" s="290"/>
    </row>
  </sheetData>
  <mergeCells count="2">
    <mergeCell ref="G4:I4"/>
    <mergeCell ref="J4:Q4"/>
  </mergeCells>
  <pageMargins left="0.7" right="0.7" top="0.75" bottom="0.75" header="0.3" footer="0.3"/>
  <pageSetup scale="53" fitToHeight="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</vt:i4>
      </vt:variant>
    </vt:vector>
  </HeadingPairs>
  <TitlesOfParts>
    <vt:vector size="10" baseType="lpstr">
      <vt:lpstr>Organization Budget</vt:lpstr>
      <vt:lpstr>Budget Overview</vt:lpstr>
      <vt:lpstr>Budget With Details</vt:lpstr>
      <vt:lpstr>Capital Budget</vt:lpstr>
      <vt:lpstr>Enrollment</vt:lpstr>
      <vt:lpstr>Personnel and Personnel Related</vt:lpstr>
      <vt:lpstr>Program Expenses</vt:lpstr>
      <vt:lpstr>Cash Flow FY 16</vt:lpstr>
      <vt:lpstr>'Cash Flow FY 16'!Print_Area</vt:lpstr>
      <vt:lpstr>Enrollment!Print_Area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Zev Nagel</dc:creator>
  <cp:lastModifiedBy>Mark Gold</cp:lastModifiedBy>
  <cp:lastPrinted>2015-12-16T05:42:41Z</cp:lastPrinted>
  <dcterms:created xsi:type="dcterms:W3CDTF">2015-12-09T23:11:33Z</dcterms:created>
  <dcterms:modified xsi:type="dcterms:W3CDTF">2019-10-29T16:19:03Z</dcterms:modified>
</cp:coreProperties>
</file>